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320E4F67-2D82-4219-84AC-40ACB77610DA}" xr6:coauthVersionLast="47" xr6:coauthVersionMax="47" xr10:uidLastSave="{00000000-0000-0000-0000-000000000000}"/>
  <bookViews>
    <workbookView xWindow="-120" yWindow="-120" windowWidth="29040" windowHeight="15840" tabRatio="882" firstSheet="21" activeTab="42" xr2:uid="{00000000-000D-0000-FFFF-FFFF00000000}"/>
  </bookViews>
  <sheets>
    <sheet name="Sheet1" sheetId="1" r:id="rId1"/>
    <sheet name="5-10-2023" sheetId="5" r:id="rId2"/>
    <sheet name="7-10" sheetId="2" r:id="rId3"/>
    <sheet name="8-10" sheetId="3" r:id="rId4"/>
    <sheet name="9-10" sheetId="4" r:id="rId5"/>
    <sheet name="10-10" sheetId="6" r:id="rId6"/>
    <sheet name="11-10" sheetId="7" r:id="rId7"/>
    <sheet name="12-10" sheetId="8" r:id="rId8"/>
    <sheet name="14-10" sheetId="10" r:id="rId9"/>
    <sheet name="15-10" sheetId="11" r:id="rId10"/>
    <sheet name="16-10" sheetId="12" r:id="rId11"/>
    <sheet name="17-10" sheetId="13" r:id="rId12"/>
    <sheet name="18-10" sheetId="15" r:id="rId13"/>
    <sheet name="19-10" sheetId="17" r:id="rId14"/>
    <sheet name="21-10" sheetId="18" r:id="rId15"/>
    <sheet name="22-10" sheetId="20" r:id="rId16"/>
    <sheet name="23-10" sheetId="21" r:id="rId17"/>
    <sheet name="24-10" sheetId="22" r:id="rId18"/>
    <sheet name="25-10" sheetId="23" r:id="rId19"/>
    <sheet name="26-10" sheetId="24" r:id="rId20"/>
    <sheet name="28-10" sheetId="25" r:id="rId21"/>
    <sheet name="29-10" sheetId="26" r:id="rId22"/>
    <sheet name="31-10" sheetId="28" r:id="rId23"/>
    <sheet name="1-11-2023" sheetId="29" r:id="rId24"/>
    <sheet name="2-11" sheetId="30" r:id="rId25"/>
    <sheet name="3-11" sheetId="31" r:id="rId26"/>
    <sheet name="4-11" sheetId="32" r:id="rId27"/>
    <sheet name="5-11" sheetId="33" r:id="rId28"/>
    <sheet name="6-11" sheetId="34" r:id="rId29"/>
    <sheet name="7-11" sheetId="35" r:id="rId30"/>
    <sheet name="8-11" sheetId="36" r:id="rId31"/>
    <sheet name="9-11" sheetId="38" r:id="rId32"/>
    <sheet name="11-11" sheetId="39" r:id="rId33"/>
    <sheet name="12-11" sheetId="41" r:id="rId34"/>
    <sheet name="13-11" sheetId="42" r:id="rId35"/>
    <sheet name="14-11" sheetId="43" r:id="rId36"/>
    <sheet name="15-11" sheetId="44" r:id="rId37"/>
    <sheet name="16-11" sheetId="45" r:id="rId38"/>
    <sheet name="18-11" sheetId="46" r:id="rId39"/>
    <sheet name="19-11" sheetId="47" r:id="rId40"/>
    <sheet name="20-11" sheetId="48" r:id="rId41"/>
    <sheet name="21-11" sheetId="49" r:id="rId42"/>
    <sheet name="22-11" sheetId="50" r:id="rId43"/>
  </sheets>
  <definedNames>
    <definedName name="_xlnm._FilterDatabase" localSheetId="1" hidden="1">'5-10-2023'!$A$1:$J$33</definedName>
    <definedName name="_xlnm.Print_Area" localSheetId="6">'11-10'!$A$1:$K$18</definedName>
    <definedName name="_xlnm.Print_Area" localSheetId="32">'11-11'!$A$1:$I$38</definedName>
    <definedName name="_xlnm.Print_Area" localSheetId="23">'1-11-2023'!$A$2:$J$45</definedName>
    <definedName name="_xlnm.Print_Area" localSheetId="7">'12-10'!$B$1:$J$22</definedName>
    <definedName name="_xlnm.Print_Area" localSheetId="33">'12-11'!$A$1:$I$30</definedName>
    <definedName name="_xlnm.Print_Area" localSheetId="34">'13-11'!$A$1:$I$35</definedName>
    <definedName name="_xlnm.Print_Area" localSheetId="35">'14-11'!$A$1:$I$34</definedName>
    <definedName name="_xlnm.Print_Area" localSheetId="9">'15-10'!$B$1:$K$29</definedName>
    <definedName name="_xlnm.Print_Area" localSheetId="36">'15-11'!$A$1:$I$35</definedName>
    <definedName name="_xlnm.Print_Area" localSheetId="10">'16-10'!$B$1:$K$29</definedName>
    <definedName name="_xlnm.Print_Area" localSheetId="37">'16-11'!$A$1:$I$45</definedName>
    <definedName name="_xlnm.Print_Area" localSheetId="11">'17-10'!$B$1:$K$30</definedName>
    <definedName name="_xlnm.Print_Area" localSheetId="12">'18-10'!$B$1:$K$30</definedName>
    <definedName name="_xlnm.Print_Area" localSheetId="38">'18-11'!$A$1:$I$39</definedName>
    <definedName name="_xlnm.Print_Area" localSheetId="13">'19-10'!$B$1:$K$35</definedName>
    <definedName name="_xlnm.Print_Area" localSheetId="39">'19-11'!$A$1:$I$31</definedName>
    <definedName name="_xlnm.Print_Area" localSheetId="40">'20-11'!$A$1:$I$37</definedName>
    <definedName name="_xlnm.Print_Area" localSheetId="24">'2-11'!$A$2:$J$37</definedName>
    <definedName name="_xlnm.Print_Area" localSheetId="14">'21-10'!$A$1:$K$38</definedName>
    <definedName name="_xlnm.Print_Area" localSheetId="41">'21-11'!$A$1:$I$34</definedName>
    <definedName name="_xlnm.Print_Area" localSheetId="15">'22-10'!$A$1:$K$23</definedName>
    <definedName name="_xlnm.Print_Area" localSheetId="42">'22-11'!$A$1:$I$44</definedName>
    <definedName name="_xlnm.Print_Area" localSheetId="16">'23-10'!$A$1:$J$24</definedName>
    <definedName name="_xlnm.Print_Area" localSheetId="17">'24-10'!$A$1:$K$30</definedName>
    <definedName name="_xlnm.Print_Area" localSheetId="18">'25-10'!$A$1:$K$31</definedName>
    <definedName name="_xlnm.Print_Area" localSheetId="21">'29-10'!$A$2:$J$51</definedName>
    <definedName name="_xlnm.Print_Area" localSheetId="25">'3-11'!$A$2:$J$21</definedName>
    <definedName name="_xlnm.Print_Area" localSheetId="22">'31-10'!$A$2:$J$40</definedName>
    <definedName name="_xlnm.Print_Area" localSheetId="26">'4-11'!$A$2:$J$41</definedName>
    <definedName name="_xlnm.Print_Area" localSheetId="31">'9-11'!$A$1:$I$31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50" l="1"/>
  <c r="F35" i="50"/>
  <c r="E4" i="50"/>
  <c r="C31" i="50" s="1"/>
  <c r="D37" i="50"/>
  <c r="F41" i="50"/>
  <c r="F40" i="50"/>
  <c r="F39" i="50"/>
  <c r="F38" i="50"/>
  <c r="F37" i="50"/>
  <c r="F31" i="50"/>
  <c r="E31" i="50"/>
  <c r="D31" i="50"/>
  <c r="B31" i="50"/>
  <c r="G4" i="50"/>
  <c r="G5" i="50" s="1"/>
  <c r="G6" i="50" s="1"/>
  <c r="G7" i="50" l="1"/>
  <c r="F42" i="50"/>
  <c r="C32" i="50"/>
  <c r="F43" i="50" s="1"/>
  <c r="G31" i="50"/>
  <c r="G8" i="50" l="1"/>
  <c r="G9" i="50" s="1"/>
  <c r="G10" i="50" s="1"/>
  <c r="G11" i="50" s="1"/>
  <c r="G12" i="50" s="1"/>
  <c r="G13" i="50" s="1"/>
  <c r="G14" i="50" s="1"/>
  <c r="F44" i="50"/>
  <c r="E16" i="49"/>
  <c r="F27" i="49"/>
  <c r="F26" i="49"/>
  <c r="F31" i="49"/>
  <c r="F30" i="49"/>
  <c r="F29" i="49"/>
  <c r="F28" i="49"/>
  <c r="F25" i="49"/>
  <c r="F21" i="49"/>
  <c r="E21" i="49"/>
  <c r="D21" i="49"/>
  <c r="C21" i="49"/>
  <c r="B21" i="49"/>
  <c r="G4" i="49"/>
  <c r="G5" i="49" s="1"/>
  <c r="G6" i="49" s="1"/>
  <c r="G15" i="50" l="1"/>
  <c r="G16" i="50" s="1"/>
  <c r="G17" i="50" s="1"/>
  <c r="G18" i="50" s="1"/>
  <c r="G7" i="49"/>
  <c r="G8" i="49" s="1"/>
  <c r="G9" i="49" s="1"/>
  <c r="G10" i="49" s="1"/>
  <c r="G11" i="49" s="1"/>
  <c r="G12" i="49" s="1"/>
  <c r="G13" i="49" s="1"/>
  <c r="G14" i="49" s="1"/>
  <c r="F32" i="49"/>
  <c r="C22" i="49"/>
  <c r="G21" i="49"/>
  <c r="G19" i="50" l="1"/>
  <c r="G20" i="50" s="1"/>
  <c r="G21" i="50" s="1"/>
  <c r="G22" i="50" s="1"/>
  <c r="G23" i="50" s="1"/>
  <c r="G24" i="50" s="1"/>
  <c r="G25" i="50" s="1"/>
  <c r="G26" i="50" s="1"/>
  <c r="G27" i="50" s="1"/>
  <c r="G28" i="50" s="1"/>
  <c r="G17" i="49"/>
  <c r="G18" i="49" s="1"/>
  <c r="G15" i="49"/>
  <c r="G16" i="49" s="1"/>
  <c r="F33" i="49"/>
  <c r="F34" i="49" s="1"/>
  <c r="F34" i="48"/>
  <c r="F33" i="48"/>
  <c r="F32" i="48"/>
  <c r="F31" i="48"/>
  <c r="F30" i="48"/>
  <c r="F29" i="48"/>
  <c r="F28" i="48"/>
  <c r="F24" i="48"/>
  <c r="E24" i="48"/>
  <c r="D24" i="48"/>
  <c r="C24" i="48"/>
  <c r="B24" i="48"/>
  <c r="G4" i="48"/>
  <c r="G5" i="48" s="1"/>
  <c r="G6" i="48" s="1"/>
  <c r="G7" i="48" s="1"/>
  <c r="G8" i="48" s="1"/>
  <c r="G9" i="48" s="1"/>
  <c r="G10" i="48" s="1"/>
  <c r="G11" i="48" s="1"/>
  <c r="G12" i="48" s="1"/>
  <c r="F35" i="48" l="1"/>
  <c r="G13" i="48"/>
  <c r="G14" i="48" s="1"/>
  <c r="G15" i="48" s="1"/>
  <c r="G16" i="48" s="1"/>
  <c r="G17" i="48" s="1"/>
  <c r="G18" i="48" s="1"/>
  <c r="G19" i="48" s="1"/>
  <c r="C25" i="48"/>
  <c r="F36" i="48" s="1"/>
  <c r="G24" i="48"/>
  <c r="G20" i="48" l="1"/>
  <c r="G21" i="48" s="1"/>
  <c r="F37" i="48"/>
  <c r="D18" i="47" l="1"/>
  <c r="C18" i="47"/>
  <c r="F28" i="47" l="1"/>
  <c r="F27" i="47"/>
  <c r="F26" i="47"/>
  <c r="F25" i="47"/>
  <c r="F24" i="47"/>
  <c r="F23" i="47"/>
  <c r="F22" i="47"/>
  <c r="F18" i="47"/>
  <c r="E18" i="47"/>
  <c r="B18" i="47"/>
  <c r="G4" i="47"/>
  <c r="G5" i="47" s="1"/>
  <c r="G6" i="47" l="1"/>
  <c r="G7" i="47" s="1"/>
  <c r="G8" i="47" s="1"/>
  <c r="G9" i="47" s="1"/>
  <c r="G10" i="47" s="1"/>
  <c r="G11" i="47" s="1"/>
  <c r="G12" i="47" s="1"/>
  <c r="G13" i="47" s="1"/>
  <c r="G14" i="47" s="1"/>
  <c r="G15" i="47" s="1"/>
  <c r="C19" i="47"/>
  <c r="F30" i="47" s="1"/>
  <c r="G18" i="47"/>
  <c r="F29" i="47"/>
  <c r="D32" i="46"/>
  <c r="D31" i="46"/>
  <c r="F31" i="47" l="1"/>
  <c r="F36" i="46"/>
  <c r="F35" i="46"/>
  <c r="F34" i="46"/>
  <c r="F33" i="46"/>
  <c r="F32" i="46"/>
  <c r="F31" i="46"/>
  <c r="F30" i="46"/>
  <c r="F26" i="46"/>
  <c r="E26" i="46"/>
  <c r="D26" i="46"/>
  <c r="C26" i="46"/>
  <c r="B26" i="46"/>
  <c r="G4" i="46"/>
  <c r="G5" i="46" l="1"/>
  <c r="G6" i="46" s="1"/>
  <c r="G7" i="46" s="1"/>
  <c r="G8" i="46" s="1"/>
  <c r="G9" i="46" s="1"/>
  <c r="G10" i="46" s="1"/>
  <c r="G11" i="46" s="1"/>
  <c r="G12" i="46" s="1"/>
  <c r="G13" i="46" s="1"/>
  <c r="G14" i="46" s="1"/>
  <c r="G15" i="46" s="1"/>
  <c r="G16" i="46" s="1"/>
  <c r="G17" i="46" s="1"/>
  <c r="G18" i="46" s="1"/>
  <c r="G19" i="46" s="1"/>
  <c r="G20" i="46" s="1"/>
  <c r="G21" i="46" s="1"/>
  <c r="G22" i="46" s="1"/>
  <c r="G23" i="46" s="1"/>
  <c r="F37" i="46"/>
  <c r="C27" i="46"/>
  <c r="F38" i="46" s="1"/>
  <c r="G26" i="46"/>
  <c r="D38" i="45"/>
  <c r="D32" i="45"/>
  <c r="C32" i="45"/>
  <c r="F39" i="46" l="1"/>
  <c r="F42" i="45"/>
  <c r="F41" i="45"/>
  <c r="F40" i="45"/>
  <c r="F39" i="45"/>
  <c r="F38" i="45"/>
  <c r="F37" i="45"/>
  <c r="F36" i="45"/>
  <c r="F32" i="45"/>
  <c r="E32" i="45"/>
  <c r="B32" i="45"/>
  <c r="G4" i="45"/>
  <c r="G5" i="45" s="1"/>
  <c r="G6" i="45" s="1"/>
  <c r="G7" i="45" s="1"/>
  <c r="G8" i="45" s="1"/>
  <c r="G9" i="45" s="1"/>
  <c r="G10" i="45" s="1"/>
  <c r="G11" i="45" s="1"/>
  <c r="G12" i="45" s="1"/>
  <c r="G13" i="45" s="1"/>
  <c r="G14" i="45" s="1"/>
  <c r="G15" i="45" s="1"/>
  <c r="G16" i="45" s="1"/>
  <c r="G17" i="45" s="1"/>
  <c r="G18" i="45" s="1"/>
  <c r="G19" i="45" s="1"/>
  <c r="G20" i="45" s="1"/>
  <c r="G21" i="45" s="1"/>
  <c r="G22" i="45" s="1"/>
  <c r="G23" i="45" s="1"/>
  <c r="G24" i="45" s="1"/>
  <c r="G25" i="45" s="1"/>
  <c r="G26" i="45" s="1"/>
  <c r="G27" i="45" s="1"/>
  <c r="G28" i="45" l="1"/>
  <c r="G29" i="45" s="1"/>
  <c r="F43" i="45"/>
  <c r="C33" i="45"/>
  <c r="F44" i="45" s="1"/>
  <c r="G32" i="45"/>
  <c r="F22" i="44"/>
  <c r="E22" i="44"/>
  <c r="D22" i="44"/>
  <c r="C22" i="44"/>
  <c r="B22" i="44"/>
  <c r="F45" i="45" l="1"/>
  <c r="C23" i="44"/>
  <c r="G22" i="44"/>
  <c r="F32" i="44" l="1"/>
  <c r="F31" i="44"/>
  <c r="F30" i="44"/>
  <c r="F29" i="44"/>
  <c r="F28" i="44"/>
  <c r="F27" i="44"/>
  <c r="F26" i="44"/>
  <c r="G4" i="44"/>
  <c r="G5" i="44" s="1"/>
  <c r="G6" i="44" s="1"/>
  <c r="G7" i="44" s="1"/>
  <c r="G8" i="44" s="1"/>
  <c r="G9" i="44" s="1"/>
  <c r="G10" i="44" s="1"/>
  <c r="G11" i="44" s="1"/>
  <c r="G12" i="44" s="1"/>
  <c r="G13" i="44" s="1"/>
  <c r="G14" i="44" s="1"/>
  <c r="G15" i="44" s="1"/>
  <c r="G16" i="44" s="1"/>
  <c r="G17" i="44" s="1"/>
  <c r="G18" i="44" s="1"/>
  <c r="G19" i="44" s="1"/>
  <c r="F33" i="44" l="1"/>
  <c r="F34" i="44"/>
  <c r="D25" i="43"/>
  <c r="F35" i="44" l="1"/>
  <c r="D25" i="39"/>
  <c r="C25" i="39"/>
  <c r="F31" i="43" l="1"/>
  <c r="F30" i="43"/>
  <c r="F29" i="43"/>
  <c r="F28" i="43"/>
  <c r="F27" i="43"/>
  <c r="F26" i="43"/>
  <c r="F25" i="43"/>
  <c r="F21" i="43"/>
  <c r="E21" i="43"/>
  <c r="D21" i="43"/>
  <c r="C21" i="43"/>
  <c r="B21" i="43"/>
  <c r="G4" i="43"/>
  <c r="G5" i="43" s="1"/>
  <c r="G6" i="43" s="1"/>
  <c r="G7" i="43" s="1"/>
  <c r="G8" i="43" s="1"/>
  <c r="G9" i="43" s="1"/>
  <c r="G10" i="43" s="1"/>
  <c r="G11" i="43" s="1"/>
  <c r="G12" i="43" s="1"/>
  <c r="G13" i="43" s="1"/>
  <c r="G14" i="43" s="1"/>
  <c r="G15" i="43" s="1"/>
  <c r="G16" i="43" l="1"/>
  <c r="G17" i="43" s="1"/>
  <c r="G18" i="43" s="1"/>
  <c r="F32" i="43"/>
  <c r="C22" i="43"/>
  <c r="F33" i="43" s="1"/>
  <c r="G21" i="43"/>
  <c r="F32" i="42"/>
  <c r="F31" i="42"/>
  <c r="F30" i="42"/>
  <c r="F29" i="42"/>
  <c r="F28" i="42"/>
  <c r="F27" i="42"/>
  <c r="F26" i="42"/>
  <c r="F22" i="42"/>
  <c r="E22" i="42"/>
  <c r="D22" i="42"/>
  <c r="C22" i="42"/>
  <c r="B22" i="42"/>
  <c r="G4" i="42"/>
  <c r="G5" i="42" s="1"/>
  <c r="G6" i="42" s="1"/>
  <c r="G7" i="42" s="1"/>
  <c r="G8" i="42" s="1"/>
  <c r="G9" i="42" s="1"/>
  <c r="G10" i="42" s="1"/>
  <c r="G11" i="42" s="1"/>
  <c r="G12" i="42" s="1"/>
  <c r="G13" i="42" s="1"/>
  <c r="G14" i="42" s="1"/>
  <c r="G15" i="42" s="1"/>
  <c r="G16" i="42" s="1"/>
  <c r="G17" i="42" s="1"/>
  <c r="F27" i="41"/>
  <c r="F26" i="41"/>
  <c r="F25" i="41"/>
  <c r="F24" i="41"/>
  <c r="F23" i="41"/>
  <c r="F22" i="41"/>
  <c r="F21" i="41"/>
  <c r="F17" i="41"/>
  <c r="E17" i="41"/>
  <c r="D17" i="41"/>
  <c r="C17" i="41"/>
  <c r="B17" i="41"/>
  <c r="G4" i="41"/>
  <c r="G5" i="41" s="1"/>
  <c r="G6" i="41" s="1"/>
  <c r="G7" i="41" s="1"/>
  <c r="G8" i="41" s="1"/>
  <c r="G9" i="41" s="1"/>
  <c r="G10" i="41" s="1"/>
  <c r="G11" i="41" s="1"/>
  <c r="G12" i="41" s="1"/>
  <c r="G13" i="41" s="1"/>
  <c r="G14" i="41" s="1"/>
  <c r="F34" i="43" l="1"/>
  <c r="G18" i="42"/>
  <c r="G19" i="42" s="1"/>
  <c r="F33" i="42"/>
  <c r="F28" i="41"/>
  <c r="C23" i="42"/>
  <c r="F34" i="42" s="1"/>
  <c r="G22" i="42"/>
  <c r="C18" i="41"/>
  <c r="G17" i="41"/>
  <c r="F30" i="41" l="1"/>
  <c r="F35" i="42"/>
  <c r="D31" i="39"/>
  <c r="D30" i="39"/>
  <c r="G4" i="29" l="1"/>
  <c r="G5" i="29" s="1"/>
  <c r="G6" i="29" s="1"/>
  <c r="G7" i="29" s="1"/>
  <c r="G8" i="29" s="1"/>
  <c r="G9" i="29" s="1"/>
  <c r="G10" i="29" s="1"/>
  <c r="G11" i="29" s="1"/>
  <c r="G12" i="29" s="1"/>
  <c r="G13" i="29" s="1"/>
  <c r="G14" i="29" s="1"/>
  <c r="G15" i="29" s="1"/>
  <c r="G16" i="29" s="1"/>
  <c r="G17" i="29" s="1"/>
  <c r="G18" i="29" s="1"/>
  <c r="G19" i="29" l="1"/>
  <c r="G20" i="29" s="1"/>
  <c r="G21" i="29" s="1"/>
  <c r="G22" i="29" s="1"/>
  <c r="G23" i="29" s="1"/>
  <c r="G24" i="29" s="1"/>
  <c r="G25" i="29" s="1"/>
  <c r="G26" i="29" s="1"/>
  <c r="G27" i="29" s="1"/>
  <c r="G28" i="29" s="1"/>
  <c r="G29" i="29" s="1"/>
  <c r="F31" i="39"/>
  <c r="F29" i="39"/>
  <c r="F35" i="39"/>
  <c r="F34" i="39"/>
  <c r="F33" i="39"/>
  <c r="F32" i="39"/>
  <c r="F30" i="39"/>
  <c r="F25" i="39"/>
  <c r="E25" i="39"/>
  <c r="B25" i="39"/>
  <c r="G4" i="39"/>
  <c r="G5" i="39" l="1"/>
  <c r="G6" i="39" s="1"/>
  <c r="G7" i="39" s="1"/>
  <c r="G8" i="39" s="1"/>
  <c r="G9" i="39" s="1"/>
  <c r="G10" i="39" s="1"/>
  <c r="G11" i="39" s="1"/>
  <c r="C26" i="39"/>
  <c r="F37" i="39" s="1"/>
  <c r="F36" i="39"/>
  <c r="G25" i="39"/>
  <c r="G12" i="39" l="1"/>
  <c r="G13" i="39" s="1"/>
  <c r="G14" i="39" s="1"/>
  <c r="G15" i="39" s="1"/>
  <c r="G16" i="39" s="1"/>
  <c r="G17" i="39" s="1"/>
  <c r="G18" i="39" s="1"/>
  <c r="G19" i="39" s="1"/>
  <c r="G20" i="39" s="1"/>
  <c r="G21" i="39" s="1"/>
  <c r="G22" i="39" s="1"/>
  <c r="F38" i="39"/>
  <c r="F28" i="38"/>
  <c r="F27" i="38"/>
  <c r="F26" i="38"/>
  <c r="F25" i="38"/>
  <c r="F24" i="38"/>
  <c r="F23" i="38"/>
  <c r="F22" i="38"/>
  <c r="F18" i="38"/>
  <c r="E18" i="38"/>
  <c r="D18" i="38"/>
  <c r="C18" i="38"/>
  <c r="B18" i="38"/>
  <c r="G4" i="38"/>
  <c r="G5" i="38" s="1"/>
  <c r="G6" i="38" s="1"/>
  <c r="G7" i="38" s="1"/>
  <c r="G8" i="38" s="1"/>
  <c r="G9" i="38" l="1"/>
  <c r="G10" i="38" s="1"/>
  <c r="G11" i="38" s="1"/>
  <c r="G12" i="38" s="1"/>
  <c r="G13" i="38" s="1"/>
  <c r="G14" i="38" s="1"/>
  <c r="G15" i="38" s="1"/>
  <c r="F29" i="38"/>
  <c r="C19" i="38"/>
  <c r="F30" i="38" s="1"/>
  <c r="G18" i="38"/>
  <c r="F31" i="38" l="1"/>
  <c r="F31" i="36"/>
  <c r="F30" i="36"/>
  <c r="F29" i="36"/>
  <c r="F28" i="36"/>
  <c r="F27" i="36"/>
  <c r="F26" i="36"/>
  <c r="F25" i="36"/>
  <c r="F21" i="36"/>
  <c r="E21" i="36"/>
  <c r="D21" i="36"/>
  <c r="C21" i="36"/>
  <c r="B21" i="36"/>
  <c r="G4" i="36"/>
  <c r="G5" i="36" s="1"/>
  <c r="G6" i="36" s="1"/>
  <c r="G7" i="36" s="1"/>
  <c r="G8" i="36" s="1"/>
  <c r="G9" i="36" s="1"/>
  <c r="G10" i="36" s="1"/>
  <c r="G11" i="36" s="1"/>
  <c r="G12" i="36" s="1"/>
  <c r="G13" i="36" s="1"/>
  <c r="G14" i="36" s="1"/>
  <c r="G15" i="36" s="1"/>
  <c r="G16" i="36" l="1"/>
  <c r="G17" i="36" s="1"/>
  <c r="G18" i="36" s="1"/>
  <c r="C22" i="36"/>
  <c r="F33" i="36" s="1"/>
  <c r="F32" i="36"/>
  <c r="G21" i="36"/>
  <c r="F34" i="36" l="1"/>
  <c r="F24" i="35"/>
  <c r="F28" i="35"/>
  <c r="F27" i="35"/>
  <c r="F26" i="35"/>
  <c r="F25" i="35"/>
  <c r="F23" i="35"/>
  <c r="F22" i="35"/>
  <c r="F18" i="35"/>
  <c r="E18" i="35"/>
  <c r="D18" i="35"/>
  <c r="C18" i="35"/>
  <c r="B18" i="35"/>
  <c r="G4" i="35"/>
  <c r="G5" i="35" s="1"/>
  <c r="G6" i="35" s="1"/>
  <c r="G7" i="35" s="1"/>
  <c r="G8" i="35" s="1"/>
  <c r="F21" i="34"/>
  <c r="E21" i="34"/>
  <c r="D21" i="34"/>
  <c r="C21" i="34"/>
  <c r="G9" i="35" l="1"/>
  <c r="G10" i="35" s="1"/>
  <c r="G11" i="35" s="1"/>
  <c r="G12" i="35" s="1"/>
  <c r="G13" i="35" s="1"/>
  <c r="G14" i="35" s="1"/>
  <c r="G15" i="35" s="1"/>
  <c r="F29" i="35"/>
  <c r="G18" i="35"/>
  <c r="C19" i="35"/>
  <c r="F30" i="35" s="1"/>
  <c r="D25" i="34"/>
  <c r="F25" i="34"/>
  <c r="D26" i="34"/>
  <c r="F26" i="34" s="1"/>
  <c r="D28" i="34"/>
  <c r="D27" i="34"/>
  <c r="F28" i="34"/>
  <c r="F31" i="34"/>
  <c r="F30" i="34"/>
  <c r="F29" i="34"/>
  <c r="F27" i="34"/>
  <c r="B21" i="34"/>
  <c r="G21" i="34" s="1"/>
  <c r="G4" i="34"/>
  <c r="G5" i="34" s="1"/>
  <c r="G6" i="34" s="1"/>
  <c r="G7" i="34" s="1"/>
  <c r="G8" i="34" s="1"/>
  <c r="G9" i="34" s="1"/>
  <c r="G10" i="34" s="1"/>
  <c r="G11" i="34" s="1"/>
  <c r="G12" i="34" s="1"/>
  <c r="G13" i="34" s="1"/>
  <c r="G14" i="34" s="1"/>
  <c r="F31" i="35" l="1"/>
  <c r="G15" i="34"/>
  <c r="G16" i="34" s="1"/>
  <c r="G17" i="34" s="1"/>
  <c r="G18" i="34" s="1"/>
  <c r="F32" i="34"/>
  <c r="C22" i="34"/>
  <c r="F33" i="34" s="1"/>
  <c r="D27" i="33"/>
  <c r="D32" i="32"/>
  <c r="F34" i="34" l="1"/>
  <c r="F32" i="33"/>
  <c r="F31" i="33"/>
  <c r="F30" i="33"/>
  <c r="F29" i="33"/>
  <c r="F28" i="33"/>
  <c r="F27" i="33"/>
  <c r="F26" i="33"/>
  <c r="F22" i="33"/>
  <c r="E22" i="33"/>
  <c r="D22" i="33"/>
  <c r="C22" i="33"/>
  <c r="B22" i="33"/>
  <c r="G4" i="33"/>
  <c r="G5" i="33" s="1"/>
  <c r="G6" i="33" s="1"/>
  <c r="G7" i="33" s="1"/>
  <c r="G8" i="33" s="1"/>
  <c r="G9" i="33" s="1"/>
  <c r="G10" i="33" s="1"/>
  <c r="G11" i="33" s="1"/>
  <c r="G12" i="33" s="1"/>
  <c r="G13" i="33" s="1"/>
  <c r="G14" i="33" s="1"/>
  <c r="G15" i="33" l="1"/>
  <c r="F33" i="33"/>
  <c r="C23" i="33"/>
  <c r="F34" i="33" s="1"/>
  <c r="G22" i="33"/>
  <c r="D33" i="32"/>
  <c r="G16" i="33" l="1"/>
  <c r="G17" i="33" s="1"/>
  <c r="G18" i="33" s="1"/>
  <c r="G19" i="33" s="1"/>
  <c r="F35" i="33"/>
  <c r="F38" i="32" l="1"/>
  <c r="F37" i="32"/>
  <c r="F36" i="32"/>
  <c r="F35" i="32"/>
  <c r="F34" i="32"/>
  <c r="F33" i="32"/>
  <c r="F32" i="32"/>
  <c r="F28" i="32"/>
  <c r="E28" i="32"/>
  <c r="D28" i="32"/>
  <c r="C28" i="32"/>
  <c r="B28" i="32"/>
  <c r="G4" i="32"/>
  <c r="G5" i="32" s="1"/>
  <c r="G6" i="32" s="1"/>
  <c r="G7" i="32" s="1"/>
  <c r="G8" i="32" s="1"/>
  <c r="G9" i="32" s="1"/>
  <c r="G10" i="32" s="1"/>
  <c r="G11" i="32" s="1"/>
  <c r="G12" i="32" s="1"/>
  <c r="G13" i="32" s="1"/>
  <c r="G14" i="32" s="1"/>
  <c r="G15" i="32" s="1"/>
  <c r="G16" i="32" s="1"/>
  <c r="G17" i="32" s="1"/>
  <c r="G18" i="32" s="1"/>
  <c r="D31" i="28"/>
  <c r="D32" i="28"/>
  <c r="D42" i="26"/>
  <c r="G19" i="32" l="1"/>
  <c r="G20" i="32" s="1"/>
  <c r="G21" i="32" s="1"/>
  <c r="F39" i="32"/>
  <c r="G28" i="32"/>
  <c r="C29" i="32"/>
  <c r="F40" i="32" s="1"/>
  <c r="F13" i="31"/>
  <c r="F12" i="31"/>
  <c r="F18" i="31"/>
  <c r="F17" i="31"/>
  <c r="F16" i="31"/>
  <c r="F15" i="31"/>
  <c r="F14" i="31"/>
  <c r="F8" i="31"/>
  <c r="E8" i="31"/>
  <c r="D8" i="31"/>
  <c r="C8" i="31"/>
  <c r="B8" i="31"/>
  <c r="G4" i="31"/>
  <c r="G5" i="31" s="1"/>
  <c r="F28" i="30"/>
  <c r="F34" i="30"/>
  <c r="F33" i="30"/>
  <c r="F32" i="30"/>
  <c r="F31" i="30"/>
  <c r="F30" i="30"/>
  <c r="F29" i="30"/>
  <c r="F24" i="30"/>
  <c r="E24" i="30"/>
  <c r="D24" i="30"/>
  <c r="C24" i="30"/>
  <c r="B24" i="30"/>
  <c r="G4" i="30"/>
  <c r="G5" i="30" s="1"/>
  <c r="G6" i="30" s="1"/>
  <c r="G7" i="30" s="1"/>
  <c r="G8" i="30" s="1"/>
  <c r="G9" i="30" s="1"/>
  <c r="G10" i="30" s="1"/>
  <c r="G22" i="32" l="1"/>
  <c r="G23" i="32" s="1"/>
  <c r="G24" i="32" s="1"/>
  <c r="G25" i="32" s="1"/>
  <c r="F41" i="32"/>
  <c r="G11" i="30"/>
  <c r="G12" i="30" s="1"/>
  <c r="G13" i="30" s="1"/>
  <c r="G14" i="30" s="1"/>
  <c r="G15" i="30" s="1"/>
  <c r="G16" i="30" s="1"/>
  <c r="G17" i="30" s="1"/>
  <c r="G18" i="30" s="1"/>
  <c r="G19" i="30" s="1"/>
  <c r="G20" i="30" s="1"/>
  <c r="G21" i="30" s="1"/>
  <c r="F19" i="31"/>
  <c r="C9" i="31"/>
  <c r="F20" i="31" s="1"/>
  <c r="G8" i="31"/>
  <c r="F35" i="30"/>
  <c r="C25" i="30"/>
  <c r="F36" i="30" s="1"/>
  <c r="G24" i="30"/>
  <c r="F21" i="31" l="1"/>
  <c r="F37" i="30"/>
  <c r="F42" i="29" l="1"/>
  <c r="F41" i="29"/>
  <c r="F40" i="29"/>
  <c r="F39" i="29"/>
  <c r="F38" i="29"/>
  <c r="F37" i="29"/>
  <c r="F36" i="29"/>
  <c r="F32" i="29"/>
  <c r="E32" i="29"/>
  <c r="D32" i="29"/>
  <c r="C32" i="29"/>
  <c r="B32" i="29"/>
  <c r="G32" i="29" l="1"/>
  <c r="C33" i="29"/>
  <c r="F44" i="29" s="1"/>
  <c r="F43" i="29"/>
  <c r="F45" i="29" l="1"/>
  <c r="F32" i="28" l="1"/>
  <c r="F31" i="28"/>
  <c r="F37" i="28"/>
  <c r="F36" i="28"/>
  <c r="F35" i="28"/>
  <c r="F34" i="28"/>
  <c r="F33" i="28"/>
  <c r="F27" i="28"/>
  <c r="E27" i="28"/>
  <c r="C27" i="28"/>
  <c r="B27" i="28"/>
  <c r="D27" i="28"/>
  <c r="G4" i="28"/>
  <c r="G5" i="28" s="1"/>
  <c r="G6" i="28" s="1"/>
  <c r="G7" i="28" s="1"/>
  <c r="G8" i="28" s="1"/>
  <c r="G9" i="28" s="1"/>
  <c r="G10" i="28" s="1"/>
  <c r="G11" i="28" s="1"/>
  <c r="G12" i="28" l="1"/>
  <c r="G13" i="28" s="1"/>
  <c r="G14" i="28" s="1"/>
  <c r="G15" i="28" s="1"/>
  <c r="G16" i="28" s="1"/>
  <c r="F38" i="28"/>
  <c r="C28" i="28"/>
  <c r="F39" i="28" s="1"/>
  <c r="G27" i="28"/>
  <c r="G22" i="28" l="1"/>
  <c r="G23" i="28" s="1"/>
  <c r="G24" i="28" s="1"/>
  <c r="G17" i="28"/>
  <c r="F40" i="28"/>
  <c r="D38" i="26"/>
  <c r="C38" i="26"/>
  <c r="F48" i="26" l="1"/>
  <c r="F47" i="26"/>
  <c r="F46" i="26"/>
  <c r="F45" i="26"/>
  <c r="F44" i="26"/>
  <c r="F43" i="26"/>
  <c r="F42" i="26"/>
  <c r="F38" i="26"/>
  <c r="E38" i="26"/>
  <c r="B38" i="26"/>
  <c r="G4" i="26"/>
  <c r="G5" i="26" s="1"/>
  <c r="G6" i="26" s="1"/>
  <c r="G7" i="26" s="1"/>
  <c r="G8" i="26" s="1"/>
  <c r="G9" i="26" l="1"/>
  <c r="G10" i="26" s="1"/>
  <c r="G11" i="26" s="1"/>
  <c r="G12" i="26" s="1"/>
  <c r="G13" i="26" s="1"/>
  <c r="G14" i="26" s="1"/>
  <c r="G15" i="26" s="1"/>
  <c r="G16" i="26" s="1"/>
  <c r="G17" i="26" s="1"/>
  <c r="G18" i="26" s="1"/>
  <c r="G19" i="26" s="1"/>
  <c r="G20" i="26" s="1"/>
  <c r="G21" i="26" s="1"/>
  <c r="G22" i="26" s="1"/>
  <c r="F49" i="26"/>
  <c r="C39" i="26"/>
  <c r="F50" i="26" s="1"/>
  <c r="G38" i="26"/>
  <c r="F24" i="25"/>
  <c r="F23" i="25"/>
  <c r="F22" i="25"/>
  <c r="F21" i="25"/>
  <c r="F20" i="25"/>
  <c r="F19" i="25"/>
  <c r="F18" i="25"/>
  <c r="F14" i="25"/>
  <c r="E14" i="25"/>
  <c r="D14" i="25"/>
  <c r="C14" i="25"/>
  <c r="B14" i="25"/>
  <c r="G4" i="25"/>
  <c r="G5" i="25" s="1"/>
  <c r="G6" i="25" s="1"/>
  <c r="G7" i="25" s="1"/>
  <c r="G8" i="25" s="1"/>
  <c r="G9" i="25" s="1"/>
  <c r="G10" i="25" s="1"/>
  <c r="G11" i="25" s="1"/>
  <c r="G12" i="25" s="1"/>
  <c r="G23" i="26" l="1"/>
  <c r="G24" i="26" s="1"/>
  <c r="G25" i="26" s="1"/>
  <c r="G26" i="26" s="1"/>
  <c r="G27" i="26" s="1"/>
  <c r="G28" i="26" s="1"/>
  <c r="G29" i="26" s="1"/>
  <c r="G30" i="26" s="1"/>
  <c r="G31" i="26" s="1"/>
  <c r="G32" i="26" s="1"/>
  <c r="G33" i="26" s="1"/>
  <c r="G34" i="26" s="1"/>
  <c r="G35" i="26" s="1"/>
  <c r="F51" i="26"/>
  <c r="C15" i="25"/>
  <c r="F26" i="25" s="1"/>
  <c r="F25" i="25"/>
  <c r="G14" i="25"/>
  <c r="F27" i="25" l="1"/>
  <c r="D37" i="24"/>
  <c r="D36" i="24"/>
  <c r="D35" i="24"/>
  <c r="D34" i="24"/>
  <c r="D33" i="24"/>
  <c r="D32" i="24"/>
  <c r="F28" i="24" l="1"/>
  <c r="E28" i="24"/>
  <c r="D28" i="24"/>
  <c r="C28" i="24"/>
  <c r="G4" i="24" l="1"/>
  <c r="G5" i="24" l="1"/>
  <c r="G6" i="24" s="1"/>
  <c r="G7" i="24" s="1"/>
  <c r="G8" i="24" s="1"/>
  <c r="G9" i="24" s="1"/>
  <c r="G10" i="24" s="1"/>
  <c r="G11" i="24" s="1"/>
  <c r="G12" i="24" s="1"/>
  <c r="G13" i="24" s="1"/>
  <c r="G14" i="24" s="1"/>
  <c r="G15" i="24" l="1"/>
  <c r="G16" i="24" s="1"/>
  <c r="G17" i="24" s="1"/>
  <c r="G18" i="24" s="1"/>
  <c r="G19" i="24" s="1"/>
  <c r="G20" i="24" s="1"/>
  <c r="G21" i="24" s="1"/>
  <c r="G22" i="24" s="1"/>
  <c r="G23" i="24" s="1"/>
  <c r="G24" i="24" s="1"/>
  <c r="G25" i="24" s="1"/>
  <c r="G26" i="24" s="1"/>
  <c r="F38" i="24"/>
  <c r="F37" i="24"/>
  <c r="F36" i="24"/>
  <c r="F35" i="24"/>
  <c r="F34" i="24"/>
  <c r="F33" i="24"/>
  <c r="F32" i="24"/>
  <c r="B28" i="24"/>
  <c r="F39" i="24" l="1"/>
  <c r="C29" i="24"/>
  <c r="F40" i="24" s="1"/>
  <c r="G28" i="24"/>
  <c r="G28" i="23"/>
  <c r="G27" i="23"/>
  <c r="G26" i="23"/>
  <c r="G25" i="23"/>
  <c r="G24" i="23"/>
  <c r="G23" i="23"/>
  <c r="G22" i="23"/>
  <c r="G18" i="23"/>
  <c r="F18" i="23"/>
  <c r="E18" i="23"/>
  <c r="D18" i="23"/>
  <c r="C18" i="23"/>
  <c r="H3" i="23"/>
  <c r="H4" i="23" s="1"/>
  <c r="H5" i="23" s="1"/>
  <c r="H6" i="23" s="1"/>
  <c r="H7" i="23" s="1"/>
  <c r="H8" i="23" s="1"/>
  <c r="H9" i="23" s="1"/>
  <c r="H10" i="23" s="1"/>
  <c r="H11" i="23" s="1"/>
  <c r="H12" i="23" s="1"/>
  <c r="H13" i="23" s="1"/>
  <c r="H14" i="23" s="1"/>
  <c r="H15" i="23" s="1"/>
  <c r="F41" i="24" l="1"/>
  <c r="G29" i="23"/>
  <c r="D19" i="23"/>
  <c r="G30" i="23" s="1"/>
  <c r="H18" i="23"/>
  <c r="E21" i="22"/>
  <c r="G31" i="23" l="1"/>
  <c r="G27" i="22"/>
  <c r="G26" i="22"/>
  <c r="G25" i="22"/>
  <c r="G24" i="22"/>
  <c r="G23" i="22"/>
  <c r="G22" i="22"/>
  <c r="G21" i="22"/>
  <c r="G17" i="22"/>
  <c r="F17" i="22"/>
  <c r="E17" i="22"/>
  <c r="D17" i="22"/>
  <c r="C17" i="22"/>
  <c r="H3" i="22"/>
  <c r="H4" i="22" s="1"/>
  <c r="H5" i="22" s="1"/>
  <c r="H6" i="22" s="1"/>
  <c r="E15" i="21"/>
  <c r="H7" i="22" l="1"/>
  <c r="H8" i="22" s="1"/>
  <c r="H9" i="22" s="1"/>
  <c r="H10" i="22" s="1"/>
  <c r="H11" i="22" s="1"/>
  <c r="H12" i="22" s="1"/>
  <c r="H13" i="22" s="1"/>
  <c r="H14" i="22" s="1"/>
  <c r="G28" i="22"/>
  <c r="D18" i="22"/>
  <c r="G29" i="22" s="1"/>
  <c r="H17" i="22"/>
  <c r="G21" i="21"/>
  <c r="G20" i="21"/>
  <c r="G19" i="21"/>
  <c r="G18" i="21"/>
  <c r="G17" i="21"/>
  <c r="G16" i="21"/>
  <c r="G15" i="21"/>
  <c r="G11" i="21"/>
  <c r="F11" i="21"/>
  <c r="E11" i="21"/>
  <c r="D11" i="21"/>
  <c r="C11" i="21"/>
  <c r="H3" i="21"/>
  <c r="H4" i="21" s="1"/>
  <c r="H5" i="21" s="1"/>
  <c r="H6" i="21" s="1"/>
  <c r="H7" i="21" s="1"/>
  <c r="H8" i="21" s="1"/>
  <c r="G30" i="22" l="1"/>
  <c r="G22" i="21"/>
  <c r="H11" i="21"/>
  <c r="D12" i="21"/>
  <c r="G23" i="21" s="1"/>
  <c r="E31" i="18"/>
  <c r="G22" i="17"/>
  <c r="F22" i="17"/>
  <c r="E22" i="17"/>
  <c r="D22" i="17"/>
  <c r="G25" i="18"/>
  <c r="F25" i="18"/>
  <c r="E25" i="18"/>
  <c r="D25" i="18"/>
  <c r="G24" i="21" l="1"/>
  <c r="G20" i="20"/>
  <c r="G19" i="20"/>
  <c r="G18" i="20"/>
  <c r="G17" i="20"/>
  <c r="G16" i="20"/>
  <c r="G15" i="20"/>
  <c r="G14" i="20"/>
  <c r="G10" i="20"/>
  <c r="F10" i="20"/>
  <c r="E10" i="20"/>
  <c r="D10" i="20"/>
  <c r="C10" i="20"/>
  <c r="H3" i="20"/>
  <c r="H4" i="20" s="1"/>
  <c r="H5" i="20" s="1"/>
  <c r="H6" i="20" s="1"/>
  <c r="H7" i="20" s="1"/>
  <c r="G21" i="20" l="1"/>
  <c r="D11" i="20"/>
  <c r="G22" i="20" s="1"/>
  <c r="G23" i="20" s="1"/>
  <c r="H10" i="20"/>
  <c r="C25" i="18" l="1"/>
  <c r="D26" i="18" l="1"/>
  <c r="G35" i="18"/>
  <c r="G34" i="18"/>
  <c r="G33" i="18"/>
  <c r="G32" i="18"/>
  <c r="G31" i="18"/>
  <c r="G30" i="18"/>
  <c r="G29" i="18"/>
  <c r="H3" i="18"/>
  <c r="H4" i="18" s="1"/>
  <c r="H5" i="18" s="1"/>
  <c r="H6" i="18" s="1"/>
  <c r="H7" i="18" s="1"/>
  <c r="H8" i="18" s="1"/>
  <c r="H9" i="18" s="1"/>
  <c r="H10" i="18" s="1"/>
  <c r="H11" i="18" s="1"/>
  <c r="H12" i="18" s="1"/>
  <c r="H13" i="18" l="1"/>
  <c r="H14" i="18" s="1"/>
  <c r="H15" i="18" s="1"/>
  <c r="H16" i="18" s="1"/>
  <c r="H17" i="18" s="1"/>
  <c r="H18" i="18" s="1"/>
  <c r="H19" i="18" s="1"/>
  <c r="H20" i="18" s="1"/>
  <c r="H21" i="18" s="1"/>
  <c r="H22" i="18" s="1"/>
  <c r="G36" i="18"/>
  <c r="G37" i="18"/>
  <c r="H25" i="18"/>
  <c r="E32" i="17"/>
  <c r="G38" i="18" l="1"/>
  <c r="G32" i="17"/>
  <c r="G31" i="17"/>
  <c r="G30" i="17"/>
  <c r="G29" i="17"/>
  <c r="G28" i="17"/>
  <c r="G27" i="17"/>
  <c r="G26" i="17"/>
  <c r="C22" i="17"/>
  <c r="H3" i="17"/>
  <c r="H4" i="17" s="1"/>
  <c r="H5" i="17" s="1"/>
  <c r="H6" i="17" s="1"/>
  <c r="H7" i="17" s="1"/>
  <c r="H8" i="17" s="1"/>
  <c r="H9" i="17" s="1"/>
  <c r="H10" i="17" s="1"/>
  <c r="H11" i="17" s="1"/>
  <c r="H12" i="17" s="1"/>
  <c r="H13" i="17" s="1"/>
  <c r="H14" i="17" s="1"/>
  <c r="H15" i="17" s="1"/>
  <c r="H16" i="17" s="1"/>
  <c r="H17" i="17" s="1"/>
  <c r="H18" i="17" s="1"/>
  <c r="H19" i="17" s="1"/>
  <c r="G33" i="17" l="1"/>
  <c r="D23" i="17"/>
  <c r="G34" i="17" s="1"/>
  <c r="G35" i="17" s="1"/>
  <c r="H22" i="17"/>
  <c r="D17" i="15"/>
  <c r="E17" i="15"/>
  <c r="F17" i="15"/>
  <c r="G17" i="15"/>
  <c r="C17" i="15" l="1"/>
  <c r="G21" i="15" l="1"/>
  <c r="G27" i="15"/>
  <c r="G26" i="15"/>
  <c r="G25" i="15"/>
  <c r="G24" i="15"/>
  <c r="G23" i="15"/>
  <c r="G22" i="15"/>
  <c r="H3" i="15"/>
  <c r="H4" i="15" s="1"/>
  <c r="H5" i="15" s="1"/>
  <c r="H6" i="15" s="1"/>
  <c r="H7" i="15" s="1"/>
  <c r="H8" i="15" s="1"/>
  <c r="H9" i="15" s="1"/>
  <c r="H10" i="15" s="1"/>
  <c r="H11" i="15" s="1"/>
  <c r="H12" i="15" s="1"/>
  <c r="H13" i="15" s="1"/>
  <c r="H14" i="15" s="1"/>
  <c r="D17" i="13"/>
  <c r="H3" i="13"/>
  <c r="G17" i="13"/>
  <c r="G27" i="13"/>
  <c r="G26" i="13"/>
  <c r="G25" i="13"/>
  <c r="G24" i="13"/>
  <c r="G23" i="13"/>
  <c r="G22" i="13"/>
  <c r="G21" i="13"/>
  <c r="F17" i="13"/>
  <c r="E17" i="13"/>
  <c r="C17" i="13"/>
  <c r="H4" i="13"/>
  <c r="H5" i="13" s="1"/>
  <c r="H6" i="13" s="1"/>
  <c r="H7" i="13" s="1"/>
  <c r="H8" i="13" s="1"/>
  <c r="H9" i="13" s="1"/>
  <c r="H10" i="13" s="1"/>
  <c r="H11" i="13" s="1"/>
  <c r="H12" i="13" s="1"/>
  <c r="H13" i="13" s="1"/>
  <c r="H14" i="13" s="1"/>
  <c r="H15" i="13" s="1"/>
  <c r="G28" i="15" l="1"/>
  <c r="D18" i="15"/>
  <c r="G29" i="15" s="1"/>
  <c r="H17" i="15"/>
  <c r="G28" i="13"/>
  <c r="D18" i="13"/>
  <c r="G29" i="13" s="1"/>
  <c r="H17" i="13"/>
  <c r="G26" i="12"/>
  <c r="G25" i="12"/>
  <c r="G24" i="12"/>
  <c r="G23" i="12"/>
  <c r="G22" i="12"/>
  <c r="G21" i="12"/>
  <c r="G20" i="12"/>
  <c r="G16" i="12"/>
  <c r="F16" i="12"/>
  <c r="E16" i="12"/>
  <c r="D16" i="12"/>
  <c r="C16" i="12"/>
  <c r="H3" i="12"/>
  <c r="H4" i="12" s="1"/>
  <c r="H5" i="12" s="1"/>
  <c r="H6" i="12" s="1"/>
  <c r="H7" i="12" s="1"/>
  <c r="H8" i="12" s="1"/>
  <c r="H9" i="12" s="1"/>
  <c r="H10" i="12" s="1"/>
  <c r="H11" i="12" s="1"/>
  <c r="H12" i="12" s="1"/>
  <c r="H13" i="12" s="1"/>
  <c r="G27" i="12" l="1"/>
  <c r="G30" i="15"/>
  <c r="G30" i="13"/>
  <c r="D17" i="12"/>
  <c r="G28" i="12" s="1"/>
  <c r="G29" i="12" s="1"/>
  <c r="H16" i="12"/>
  <c r="D16" i="11"/>
  <c r="E16" i="11"/>
  <c r="F16" i="11"/>
  <c r="H3" i="11" l="1"/>
  <c r="H4" i="11" s="1"/>
  <c r="H5" i="11" s="1"/>
  <c r="H6" i="11" s="1"/>
  <c r="H7" i="11" s="1"/>
  <c r="H8" i="11" s="1"/>
  <c r="H9" i="11" s="1"/>
  <c r="H10" i="11" s="1"/>
  <c r="H11" i="11" s="1"/>
  <c r="H12" i="11" s="1"/>
  <c r="H13" i="11" s="1"/>
  <c r="G21" i="11" l="1"/>
  <c r="G22" i="11"/>
  <c r="G26" i="11"/>
  <c r="G25" i="11"/>
  <c r="G24" i="11"/>
  <c r="G23" i="11"/>
  <c r="G20" i="11"/>
  <c r="G16" i="11"/>
  <c r="C16" i="11"/>
  <c r="D25" i="2"/>
  <c r="G27" i="11" l="1"/>
  <c r="D17" i="11"/>
  <c r="G28" i="11" s="1"/>
  <c r="H16" i="11"/>
  <c r="G29" i="11" l="1"/>
  <c r="E27" i="10"/>
  <c r="D27" i="10"/>
  <c r="F27" i="10" l="1"/>
  <c r="C27" i="10" l="1"/>
  <c r="D28" i="10" s="1"/>
  <c r="G39" i="10" s="1"/>
  <c r="G27" i="10"/>
  <c r="H27" i="10" s="1"/>
  <c r="G37" i="10" l="1"/>
  <c r="G36" i="10"/>
  <c r="G35" i="10"/>
  <c r="G34" i="10"/>
  <c r="G33" i="10"/>
  <c r="G32" i="10"/>
  <c r="G31" i="10"/>
  <c r="H3" i="10"/>
  <c r="H4" i="10" s="1"/>
  <c r="H5" i="10" s="1"/>
  <c r="H6" i="10" s="1"/>
  <c r="H7" i="10" s="1"/>
  <c r="H8" i="10" s="1"/>
  <c r="H9" i="10" s="1"/>
  <c r="H10" i="10" s="1"/>
  <c r="H11" i="10" s="1"/>
  <c r="H12" i="10" s="1"/>
  <c r="H13" i="10" s="1"/>
  <c r="H14" i="10" s="1"/>
  <c r="H15" i="10" s="1"/>
  <c r="H16" i="10" s="1"/>
  <c r="H17" i="10" s="1"/>
  <c r="H18" i="10" s="1"/>
  <c r="H19" i="10" s="1"/>
  <c r="H20" i="10" s="1"/>
  <c r="H21" i="10" s="1"/>
  <c r="H22" i="10" s="1"/>
  <c r="H23" i="10" s="1"/>
  <c r="H24" i="10" s="1"/>
  <c r="H25" i="10" s="1"/>
  <c r="G38" i="10" l="1"/>
  <c r="G40" i="10" s="1"/>
  <c r="G22" i="8" l="1"/>
  <c r="F22" i="8"/>
  <c r="E22" i="8"/>
  <c r="D22" i="8"/>
  <c r="C22" i="8"/>
  <c r="H3" i="8"/>
  <c r="H4" i="8" s="1"/>
  <c r="H5" i="8" s="1"/>
  <c r="H6" i="8" s="1"/>
  <c r="H7" i="8" s="1"/>
  <c r="H8" i="8" s="1"/>
  <c r="H9" i="8" l="1"/>
  <c r="H10" i="8" s="1"/>
  <c r="H11" i="8" s="1"/>
  <c r="D23" i="8"/>
  <c r="H22" i="8"/>
  <c r="H12" i="8" l="1"/>
  <c r="H13" i="8" s="1"/>
  <c r="H14" i="8" s="1"/>
  <c r="H15" i="8" s="1"/>
  <c r="H16" i="8" s="1"/>
  <c r="E16" i="7"/>
  <c r="G16" i="7"/>
  <c r="F16" i="7"/>
  <c r="D16" i="7"/>
  <c r="C16" i="7"/>
  <c r="H3" i="7"/>
  <c r="H4" i="7" s="1"/>
  <c r="H5" i="7" s="1"/>
  <c r="H6" i="7" s="1"/>
  <c r="H7" i="7" s="1"/>
  <c r="H8" i="7" s="1"/>
  <c r="H9" i="7" s="1"/>
  <c r="H10" i="7" s="1"/>
  <c r="H11" i="7" s="1"/>
  <c r="H12" i="7" s="1"/>
  <c r="H13" i="7" s="1"/>
  <c r="H17" i="8" l="1"/>
  <c r="H18" i="8" s="1"/>
  <c r="H19" i="8" s="1"/>
  <c r="H20" i="8" s="1"/>
  <c r="D18" i="7"/>
  <c r="E20" i="7" s="1"/>
  <c r="H16" i="7"/>
  <c r="D22" i="6"/>
  <c r="F22" i="6"/>
  <c r="E22" i="6"/>
  <c r="C22" i="6"/>
  <c r="B22" i="6"/>
  <c r="G3" i="6"/>
  <c r="G4" i="6" s="1"/>
  <c r="G5" i="6" s="1"/>
  <c r="G6" i="6" s="1"/>
  <c r="G7" i="6" s="1"/>
  <c r="G8" i="6" s="1"/>
  <c r="G9" i="6" s="1"/>
  <c r="G10" i="6" s="1"/>
  <c r="G11" i="6" s="1"/>
  <c r="G12" i="6" s="1"/>
  <c r="G13" i="6" s="1"/>
  <c r="G14" i="6" s="1"/>
  <c r="G15" i="6" s="1"/>
  <c r="G16" i="6" s="1"/>
  <c r="G17" i="6" s="1"/>
  <c r="C24" i="6" l="1"/>
  <c r="G22" i="6"/>
  <c r="G18" i="6"/>
  <c r="G19" i="6" s="1"/>
  <c r="G20" i="6" s="1"/>
  <c r="E25" i="2"/>
  <c r="G3" i="5"/>
  <c r="G4" i="5" s="1"/>
  <c r="G5" i="5" s="1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28" i="6" l="1"/>
  <c r="G3" i="4"/>
  <c r="F16" i="4"/>
  <c r="D16" i="4"/>
  <c r="B16" i="4"/>
  <c r="C16" i="4"/>
  <c r="E16" i="4"/>
  <c r="G4" i="4"/>
  <c r="G5" i="4" s="1"/>
  <c r="G6" i="4" s="1"/>
  <c r="G7" i="4" s="1"/>
  <c r="G8" i="4" s="1"/>
  <c r="G9" i="4" s="1"/>
  <c r="G10" i="4" s="1"/>
  <c r="G11" i="4" s="1"/>
  <c r="G12" i="4" s="1"/>
  <c r="G13" i="4" s="1"/>
  <c r="C18" i="4" l="1"/>
  <c r="G16" i="4"/>
  <c r="E27" i="3"/>
  <c r="C27" i="3" l="1"/>
  <c r="D27" i="3"/>
  <c r="D28" i="3" s="1"/>
  <c r="F27" i="3" l="1"/>
  <c r="H27" i="3"/>
  <c r="G4" i="3"/>
  <c r="G5" i="3" s="1"/>
  <c r="G3" i="3"/>
  <c r="I25" i="2"/>
  <c r="I27" i="3"/>
  <c r="G2" i="2"/>
  <c r="J27" i="3" l="1"/>
  <c r="G6" i="3"/>
  <c r="G7" i="3" s="1"/>
  <c r="G8" i="3" s="1"/>
  <c r="G9" i="3" s="1"/>
  <c r="G10" i="3" s="1"/>
  <c r="G11" i="3" s="1"/>
  <c r="G12" i="3" s="1"/>
  <c r="G13" i="3" s="1"/>
  <c r="G14" i="3" s="1"/>
  <c r="H25" i="2"/>
  <c r="C25" i="2"/>
  <c r="G3" i="2"/>
  <c r="G4" i="2" s="1"/>
  <c r="G5" i="2" s="1"/>
  <c r="G6" i="2" s="1"/>
  <c r="G7" i="2" s="1"/>
  <c r="G8" i="2" s="1"/>
  <c r="G9" i="2" s="1"/>
  <c r="G10" i="2" s="1"/>
  <c r="G11" i="2" s="1"/>
  <c r="G12" i="2" s="1"/>
  <c r="G15" i="3" l="1"/>
  <c r="G16" i="3" s="1"/>
  <c r="G17" i="3" s="1"/>
  <c r="G18" i="3" s="1"/>
  <c r="G19" i="3" s="1"/>
  <c r="G20" i="3" s="1"/>
  <c r="G21" i="3" s="1"/>
  <c r="G22" i="3" s="1"/>
  <c r="G23" i="3" s="1"/>
  <c r="J25" i="2"/>
  <c r="F25" i="2"/>
  <c r="G13" i="2"/>
  <c r="G14" i="2" s="1"/>
  <c r="G15" i="2" l="1"/>
  <c r="G16" i="2" s="1"/>
  <c r="G17" i="2" s="1"/>
  <c r="G18" i="2" s="1"/>
  <c r="G19" i="2" s="1"/>
  <c r="G20" i="2" s="1"/>
  <c r="G21" i="2" s="1"/>
  <c r="G2" i="1" l="1"/>
  <c r="G3" i="1" s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l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</calcChain>
</file>

<file path=xl/sharedStrings.xml><?xml version="1.0" encoding="utf-8"?>
<sst xmlns="http://schemas.openxmlformats.org/spreadsheetml/2006/main" count="3128" uniqueCount="849">
  <si>
    <t>الشهر</t>
  </si>
  <si>
    <t>التاريخ</t>
  </si>
  <si>
    <t>مدين</t>
  </si>
  <si>
    <t>دائن</t>
  </si>
  <si>
    <t>رصيد</t>
  </si>
  <si>
    <t>صاحب العهدة</t>
  </si>
  <si>
    <t>بيان</t>
  </si>
  <si>
    <t>ملاحظات</t>
  </si>
  <si>
    <t>اكتوبر</t>
  </si>
  <si>
    <t xml:space="preserve">ناصر سيد محمد </t>
  </si>
  <si>
    <t xml:space="preserve">قسط شقة برج A8 الدور 3 مساحة 139متر </t>
  </si>
  <si>
    <t>A8</t>
  </si>
  <si>
    <t>محمود احمد عبد الرحيم</t>
  </si>
  <si>
    <t xml:space="preserve">قسط شقة برج A8 الدور 4 مساحة 139متر </t>
  </si>
  <si>
    <t xml:space="preserve">محمود عيسي محمود </t>
  </si>
  <si>
    <t xml:space="preserve">قسط شقة برجB2 الدور7 مساحة 195متر </t>
  </si>
  <si>
    <t>B2</t>
  </si>
  <si>
    <t>وائل سعد سلومه</t>
  </si>
  <si>
    <t xml:space="preserve">قسط شقة برج B1 الدور 2 مساحة 185 متر </t>
  </si>
  <si>
    <t>B1</t>
  </si>
  <si>
    <t>ايمن امين حبيشي</t>
  </si>
  <si>
    <t xml:space="preserve">حجز شقة برج D الدور 6 مساحة 315متر </t>
  </si>
  <si>
    <t xml:space="preserve">ابراج المستقبل </t>
  </si>
  <si>
    <t>خالد ثابت علي محمود</t>
  </si>
  <si>
    <t xml:space="preserve">قسط شقة برج A4 الدور 6 138 متر </t>
  </si>
  <si>
    <t>A4</t>
  </si>
  <si>
    <t xml:space="preserve">عبد الرحمن احمد مصطفي </t>
  </si>
  <si>
    <t>قسط شقة 135 متر برج A3 الدور 6</t>
  </si>
  <si>
    <t>A3</t>
  </si>
  <si>
    <t xml:space="preserve">احمد ابو بكر الشوشاني </t>
  </si>
  <si>
    <t>قسط شقة 194 متر برج المنارة الدور 9</t>
  </si>
  <si>
    <t xml:space="preserve">برج المنارة </t>
  </si>
  <si>
    <t xml:space="preserve">محمد احمد عبد التواب رزق </t>
  </si>
  <si>
    <t>قسط شقة 250 متر برج B1 الدور 2</t>
  </si>
  <si>
    <t xml:space="preserve">عمرو فرج مصطفي علي </t>
  </si>
  <si>
    <t xml:space="preserve">قسط شقة 185 متر الدور 9 برج المنارة </t>
  </si>
  <si>
    <t xml:space="preserve">المستشار اسامه محمد </t>
  </si>
  <si>
    <t xml:space="preserve">حجز شقة برج D الدور 7مساحة 190متر </t>
  </si>
  <si>
    <t xml:space="preserve">محمد احمد زكي </t>
  </si>
  <si>
    <t>قسط شقة الدور 4 برج B2 نموزج 1</t>
  </si>
  <si>
    <t>اميرة صالح سعد</t>
  </si>
  <si>
    <t>قسط شقة 170 متر الدور 6 برج B2</t>
  </si>
  <si>
    <t>محمد امين محمد</t>
  </si>
  <si>
    <t>قسط شقة 172 متر الدور 9 برج B3</t>
  </si>
  <si>
    <t>B3</t>
  </si>
  <si>
    <t xml:space="preserve">قسط شقة 141 متر الدور 8 نموزج 3 A8 </t>
  </si>
  <si>
    <t xml:space="preserve">محمد ربيع شعبان </t>
  </si>
  <si>
    <t>قسط شقة 205 متر الدور الاول علوي برج B2</t>
  </si>
  <si>
    <t xml:space="preserve">محسن بكري جودة </t>
  </si>
  <si>
    <t>قسط شقة 130 متر الدور 6 برج B10</t>
  </si>
  <si>
    <t>B10</t>
  </si>
  <si>
    <t xml:space="preserve">محمد سمير عبد التواب </t>
  </si>
  <si>
    <t>قسط شقة 175 متر الدور 5 برج B7</t>
  </si>
  <si>
    <t>B7</t>
  </si>
  <si>
    <t>عزة عوض غانم</t>
  </si>
  <si>
    <t xml:space="preserve">قسط شقة 119 متر الدور 5 برج المنارة </t>
  </si>
  <si>
    <t>مني هاشم محمد</t>
  </si>
  <si>
    <t>قسط شقة 133 متر الدور 9 برج B10</t>
  </si>
  <si>
    <t>قسط شقة 130متر الدور 2علوي برج A10</t>
  </si>
  <si>
    <t>A10</t>
  </si>
  <si>
    <t xml:space="preserve">احمد مصطفي معروف </t>
  </si>
  <si>
    <t>قسط شقة 170متر الدور 2 علوي برج B2( لاغي)</t>
  </si>
  <si>
    <t xml:space="preserve">لاغي </t>
  </si>
  <si>
    <t>قسط شقة 170متر الدور 2 علوي برج B2</t>
  </si>
  <si>
    <t>ولاء محسن محمد</t>
  </si>
  <si>
    <t>قسط شقة برج B10  الدور 6</t>
  </si>
  <si>
    <t xml:space="preserve">الحاج احمد كشري </t>
  </si>
  <si>
    <t>خلف توبه</t>
  </si>
  <si>
    <t>تم التحصيل من خلال الحاج</t>
  </si>
  <si>
    <t>صلاح الظابط</t>
  </si>
  <si>
    <t>عهده الؤلؤة</t>
  </si>
  <si>
    <t>ايمن عوض الله</t>
  </si>
  <si>
    <t>نبيل شعبان</t>
  </si>
  <si>
    <t>100ج بيرسول 23ك ×37ج عدس</t>
  </si>
  <si>
    <t xml:space="preserve">محل الكشري </t>
  </si>
  <si>
    <t xml:space="preserve">سلفة </t>
  </si>
  <si>
    <t xml:space="preserve">سلف العاملين </t>
  </si>
  <si>
    <t>عهدة</t>
  </si>
  <si>
    <t>سلفة</t>
  </si>
  <si>
    <t xml:space="preserve">احمد الديان </t>
  </si>
  <si>
    <t xml:space="preserve">اعمال حدادة برج المنارة </t>
  </si>
  <si>
    <t xml:space="preserve">هاني الحجار </t>
  </si>
  <si>
    <t>تم التسليم الي هاني الحجار وتسجل مسحوبات شخصية علي الحاج</t>
  </si>
  <si>
    <t xml:space="preserve">ايراد المحل </t>
  </si>
  <si>
    <t>يوم 4-10-2023</t>
  </si>
  <si>
    <t>طه محمود</t>
  </si>
  <si>
    <t>رقم لسند صرف</t>
  </si>
  <si>
    <t xml:space="preserve">رقم لسند استلام </t>
  </si>
  <si>
    <t>احمد الجبالى - نجاره مسلح</t>
  </si>
  <si>
    <t>ختامى اعمال B7</t>
  </si>
  <si>
    <t>حاتم محمد</t>
  </si>
  <si>
    <t>قسط شقة 150م - الدور الرابع علوي - برج B4</t>
  </si>
  <si>
    <t>الاسم</t>
  </si>
  <si>
    <t xml:space="preserve">مصطفى نجوب </t>
  </si>
  <si>
    <t>B8</t>
  </si>
  <si>
    <t xml:space="preserve">نادر احمد حميده </t>
  </si>
  <si>
    <t>قسط المحل برج المنارة</t>
  </si>
  <si>
    <t>معتز احمد مصطفى</t>
  </si>
  <si>
    <t>الدور السادس - نموذج 1 - مساحة138م - برج A4</t>
  </si>
  <si>
    <t>تامر عبد العليم صالح عبيد</t>
  </si>
  <si>
    <t>جزء من مقدم الشقه 190م - الدور الخامس علوي - ابراج المستقبل - برج D</t>
  </si>
  <si>
    <t>تامر خميس محمد ابو زيد</t>
  </si>
  <si>
    <t>قسط الشقه 145م - الدور التاسع علوي - برج B3</t>
  </si>
  <si>
    <t>نشوي محمد عيد على</t>
  </si>
  <si>
    <t>قسط الشقه 139م - الدور الرابع علوي - برج A8</t>
  </si>
  <si>
    <t>اكرم بشري ميخائيل</t>
  </si>
  <si>
    <t>قسط الشقه 130م - الدور الثامن علوي - برج A7</t>
  </si>
  <si>
    <t>اسماعيل حماد محمد</t>
  </si>
  <si>
    <t>قسط الشقه 130م - الدور السابع علوي - برج B7</t>
  </si>
  <si>
    <t>محمد عزت حسن</t>
  </si>
  <si>
    <t>قسط اشقه 315م - الدور الخامس علوي - برج D -ابراج المستقبل</t>
  </si>
  <si>
    <t>محمد ماضي محمد سعيد</t>
  </si>
  <si>
    <t>قسط شقة 250م - B1</t>
  </si>
  <si>
    <t>احمد عزت</t>
  </si>
  <si>
    <t>احمد كشري</t>
  </si>
  <si>
    <t>خزينة احمد عزت</t>
  </si>
  <si>
    <t xml:space="preserve">خزينة الحاج احمد </t>
  </si>
  <si>
    <t xml:space="preserve">اسلام بدوي </t>
  </si>
  <si>
    <t>محمود رمضان</t>
  </si>
  <si>
    <t xml:space="preserve">عهدة ابراج المستقبل </t>
  </si>
  <si>
    <t>مشال الدور 11 شقة الحاج</t>
  </si>
  <si>
    <t xml:space="preserve">شراء 120ك زيت ×55ج +60بنزين التريسيكل </t>
  </si>
  <si>
    <t xml:space="preserve">احمد محمد عويس </t>
  </si>
  <si>
    <t xml:space="preserve">مبالغ باوامر الحاج اكراميات </t>
  </si>
  <si>
    <t xml:space="preserve">دفعة من ح/ الطماطم والبصل </t>
  </si>
  <si>
    <t>مصروفات خزينة احمد عزت</t>
  </si>
  <si>
    <t>رصيد خزينة احمد عزت</t>
  </si>
  <si>
    <t>رصيد سابق</t>
  </si>
  <si>
    <t>ايراد المطعم</t>
  </si>
  <si>
    <t>رصيد مرحل</t>
  </si>
  <si>
    <t>اجمالى المنصرف</t>
  </si>
  <si>
    <t>الرصيد الحالى</t>
  </si>
  <si>
    <t>الخزينة</t>
  </si>
  <si>
    <t>اجمالى رصيد الخزينة</t>
  </si>
  <si>
    <t>احمد درويش مصطفى</t>
  </si>
  <si>
    <t xml:space="preserve">قسط شقة برج A10 - دور 3 مساحة 130م </t>
  </si>
  <si>
    <t>كامل حساب الشقة 190م - برج D - ابراج المستقبل</t>
  </si>
  <si>
    <t>عاطف سعد عبد المولى</t>
  </si>
  <si>
    <t>قسط شقة نموذج 2 - الدور 2 علوي - برج B6 - مساحة 175م</t>
  </si>
  <si>
    <t>امين عرفة ويمنى فوزي</t>
  </si>
  <si>
    <t>تحويل بنكي- قسط الشقة 185 م - الدور الثاني علوي المنارة</t>
  </si>
  <si>
    <t>احمد عبد التواب كامل</t>
  </si>
  <si>
    <t>قسط شقة برج A9 - دور 9 مساحة 135م</t>
  </si>
  <si>
    <t>هانى القاياتي</t>
  </si>
  <si>
    <t>دفعة من حساب الاسهم</t>
  </si>
  <si>
    <t>طه جابر</t>
  </si>
  <si>
    <t>عمر سعيد</t>
  </si>
  <si>
    <t>باقى مقدم الشقه 315م - الدور الثامن علوي - برج D</t>
  </si>
  <si>
    <t>استبدال سويتش برج المنارة</t>
  </si>
  <si>
    <t>عيد طوب اسمنتي</t>
  </si>
  <si>
    <t>طلبات بوفيه</t>
  </si>
  <si>
    <t>طابعة ريكو خاصة بالمهندسين</t>
  </si>
  <si>
    <t>ادهم كشري</t>
  </si>
  <si>
    <t>فاتورة توابل ومكرونة</t>
  </si>
  <si>
    <t xml:space="preserve">محمود عوض الله </t>
  </si>
  <si>
    <t xml:space="preserve">كامل حساب السيراميك </t>
  </si>
  <si>
    <t xml:space="preserve">خالد بدوي </t>
  </si>
  <si>
    <t>من حساب المصنعية - المركب</t>
  </si>
  <si>
    <t xml:space="preserve">ايهاب احمد عبد الحميد </t>
  </si>
  <si>
    <t>سلفه وتسجل على اللؤلؤة</t>
  </si>
  <si>
    <t>هانى قاياتي</t>
  </si>
  <si>
    <t>دفعة 2 من حساب كراسي وترابيزات اللؤلؤة</t>
  </si>
  <si>
    <t>سداد كامل حساب الكراسي والترابيزات - اللؤلؤة</t>
  </si>
  <si>
    <t xml:space="preserve">رقم سند استلام </t>
  </si>
  <si>
    <t xml:space="preserve">محمد رافت </t>
  </si>
  <si>
    <t>عبد الله احمد صلاح الدين</t>
  </si>
  <si>
    <t>قسط شقة دور 4 مساحه 133- B10</t>
  </si>
  <si>
    <t>قسط شقة دور 4 مساحه 143- B10</t>
  </si>
  <si>
    <t>راضي صبحي فهمي طلبه</t>
  </si>
  <si>
    <t>تحت حساب سهم في برج B11 - 152م</t>
  </si>
  <si>
    <t xml:space="preserve">سعيد زايد يونس </t>
  </si>
  <si>
    <t>قسط الشقه 175م الدور الرابع برج B7</t>
  </si>
  <si>
    <t>ايهاب محمد عصام</t>
  </si>
  <si>
    <t>قسط الشقه 175م الدور الثامن علوي برج B7</t>
  </si>
  <si>
    <t>محمود رياض عبد القادر</t>
  </si>
  <si>
    <t>حجز شقة 183م الدور الرابع برج D  ابراج المستقبل</t>
  </si>
  <si>
    <t>نجاح عبد الله ابراهيم</t>
  </si>
  <si>
    <t xml:space="preserve">مقدم شقة نموذج 4 الدور 8 برج D </t>
  </si>
  <si>
    <t>دخول الخزينة</t>
  </si>
  <si>
    <t>مصروفات من خزينة احمد عزت</t>
  </si>
  <si>
    <t>مصروفات من خزينة الحاج</t>
  </si>
  <si>
    <t xml:space="preserve">رصيد خزينة احمد عزت </t>
  </si>
  <si>
    <t>cancel</t>
  </si>
  <si>
    <t xml:space="preserve">هدي احمد عبد التواب </t>
  </si>
  <si>
    <t>مقدم شقة النموذج 2 الدور 8 مساحة 183م برج D</t>
  </si>
  <si>
    <t>سعيد بكري سلومه</t>
  </si>
  <si>
    <t>مقدم شقة النموذج 4 الدور 2 مساحة 139 A8</t>
  </si>
  <si>
    <t xml:space="preserve">اسامه رمضان على </t>
  </si>
  <si>
    <t>احمد ربيع شعبان</t>
  </si>
  <si>
    <t>مقدم محل 26م نموذج 12 D</t>
  </si>
  <si>
    <t>لاغي</t>
  </si>
  <si>
    <t>صالح ابراهيم وشيماء السيد</t>
  </si>
  <si>
    <t>قسط الشقه 130م الدور الثاني علوي برج B6</t>
  </si>
  <si>
    <t>احمد عادل محمد</t>
  </si>
  <si>
    <t>دفعة مقدم لشقة 139م برج A8 مساحه 139م دور 8</t>
  </si>
  <si>
    <t>عمرو حسين محمد</t>
  </si>
  <si>
    <t>قسط الشقه 139م برج A8 الدور 8</t>
  </si>
  <si>
    <t xml:space="preserve">طه محمود </t>
  </si>
  <si>
    <t>عمولة 5% على شراء طابعة المهندسين</t>
  </si>
  <si>
    <t>شهاب احمد</t>
  </si>
  <si>
    <t xml:space="preserve">تشوينات رمل واسمنت الدور 11 </t>
  </si>
  <si>
    <t>خلف توبة</t>
  </si>
  <si>
    <t xml:space="preserve">دفعة سداد نقدي خاصه بالحاج احمد </t>
  </si>
  <si>
    <t>دخول</t>
  </si>
  <si>
    <t>الحاج احمد</t>
  </si>
  <si>
    <t xml:space="preserve">جمال البنا </t>
  </si>
  <si>
    <t>نبيل شعيان</t>
  </si>
  <si>
    <t>مشتريات المحل</t>
  </si>
  <si>
    <t>رمضان سيد - محمد على حديد</t>
  </si>
  <si>
    <t>دفعة من الحساب من عمر</t>
  </si>
  <si>
    <t xml:space="preserve">تحويل لخزينة الحاج </t>
  </si>
  <si>
    <t>رصيد خزينة</t>
  </si>
  <si>
    <t>اسامه محمد صالح</t>
  </si>
  <si>
    <t xml:space="preserve"> كامل القيمة -النموذج 4 الدور 5 المساحة 190م برج D</t>
  </si>
  <si>
    <t xml:space="preserve">تامر عبد العليم صالح </t>
  </si>
  <si>
    <t>كامل القيمة - النموذج 4 الدور 7 المساحة 190 برج D</t>
  </si>
  <si>
    <t>2500          باغوص 
3000                B5
7000                B3
3000                B2</t>
  </si>
  <si>
    <t>مصروف للحاج</t>
  </si>
  <si>
    <t>محمد رمضان سيف</t>
  </si>
  <si>
    <t>النموذج 3 الدور 4 المساحه 179 برج D</t>
  </si>
  <si>
    <t>هاني القاياتي</t>
  </si>
  <si>
    <t>النموذج 1 الدور 9 المساحه 138م A4</t>
  </si>
  <si>
    <t>النموذج 2 الدور 9 المساحه 130م A10</t>
  </si>
  <si>
    <t xml:space="preserve">محمد عوض الله </t>
  </si>
  <si>
    <t>سلفه</t>
  </si>
  <si>
    <t>اسلام بدوي</t>
  </si>
  <si>
    <t>محمود البحار</t>
  </si>
  <si>
    <t>10ك فراخ و 10 كبده وانتقالات</t>
  </si>
  <si>
    <t xml:space="preserve">ادهم كشري </t>
  </si>
  <si>
    <t>حساب فاتورة مكرونة وارز</t>
  </si>
  <si>
    <t>مريم وايه احمد السيد</t>
  </si>
  <si>
    <t>قسط الشقه 139م الدور الثالث علوي ببرج A8</t>
  </si>
  <si>
    <t xml:space="preserve">550000  تحويل بنكي 
150000  نقدي
8700  فودافون كاش شهاب </t>
  </si>
  <si>
    <t>محمد رافت</t>
  </si>
  <si>
    <t>عهدة فودافون كاش شهاب</t>
  </si>
  <si>
    <t>على كشري</t>
  </si>
  <si>
    <t>الهام فتحي محمد راضي</t>
  </si>
  <si>
    <t>قسط الشقة 165م الدور الخامس علوي برج B2</t>
  </si>
  <si>
    <t>امانى خليفة رحيل</t>
  </si>
  <si>
    <t>حجز شقة 185م الدور 11 برج D ابراج المستقبل</t>
  </si>
  <si>
    <t>محمد غيث عزيز السيد</t>
  </si>
  <si>
    <t>حجز الشقه 173م الدور 11 برج D ابراج المستقبل</t>
  </si>
  <si>
    <t>محمد احمد عبد الحليم</t>
  </si>
  <si>
    <t>قسط الشقه 149م الدور 8 برج A8</t>
  </si>
  <si>
    <t xml:space="preserve">دخول </t>
  </si>
  <si>
    <t>د. مروان محمد اشرف صوفى</t>
  </si>
  <si>
    <t>حجز شقة 185م الدور 8 علوي برج D</t>
  </si>
  <si>
    <t>د.احمد محمد اشرف صوفى</t>
  </si>
  <si>
    <t>حجز شقة 173م برج D الدور الثامن</t>
  </si>
  <si>
    <t>نهال عبد الهادي</t>
  </si>
  <si>
    <t>قسط الشقه 175م الدور التاسع نموذج 3 برج B11</t>
  </si>
  <si>
    <t>قسط الشقه 230م الدور التاسع برج B11</t>
  </si>
  <si>
    <t xml:space="preserve">نبيل شعبان </t>
  </si>
  <si>
    <t>اكياس زباله براميل المطعم</t>
  </si>
  <si>
    <t>احمد عويس</t>
  </si>
  <si>
    <t>بنزين للموتوسيكل</t>
  </si>
  <si>
    <t xml:space="preserve">حاتم النني </t>
  </si>
  <si>
    <t xml:space="preserve">شراء فودافون كاش </t>
  </si>
  <si>
    <t xml:space="preserve">احمد محمد جابر </t>
  </si>
  <si>
    <t>قسط السقة 170م - الدور الرابع علوي - برج B6</t>
  </si>
  <si>
    <t>يمني محمد عبد الكريم</t>
  </si>
  <si>
    <t>قسط شقة - نموذج 1 - الدور الثاني - مساحة 160م - B10</t>
  </si>
  <si>
    <t>نواره على سلطان</t>
  </si>
  <si>
    <t>قسط شقة نموذج 2 - الدور الرابع - مساحة 161م - B10</t>
  </si>
  <si>
    <t>قسط سابق بعام 2022م</t>
  </si>
  <si>
    <t>احمد حامد قطب</t>
  </si>
  <si>
    <t>اخر قسط لشقة 185م - الدور الثالث - برج المناره</t>
  </si>
  <si>
    <t>قسط الثالث لعد 3 شقق ( 2 شقة برج A4 ) - ( 1 شقة برج A8 ) - الدور الثاني - فيو بارك</t>
  </si>
  <si>
    <t>محمد مختار فتحي</t>
  </si>
  <si>
    <t>قسط الشقة 150م - الدور التاسع علوي - برج B4</t>
  </si>
  <si>
    <t xml:space="preserve">محمود رمضان </t>
  </si>
  <si>
    <t>عهدة موقع ابراج المستقبل</t>
  </si>
  <si>
    <t>حاتم النني</t>
  </si>
  <si>
    <t>550ج جبنة موتزريلا 
 1050 10ك كبدة
 1620 10ك بانية
50انتقالات</t>
  </si>
  <si>
    <t>الحاج احمد كشري - مسحوبات شخصية</t>
  </si>
  <si>
    <t>محمد فاضل عويس عبد الله</t>
  </si>
  <si>
    <t>جزء من مقدم الشقة 185م - الدور العاشر - برج D - ابراج المستقبل</t>
  </si>
  <si>
    <t>جزء من حساب البصل + 400 5ك زبيب</t>
  </si>
  <si>
    <t>جرد النقدية</t>
  </si>
  <si>
    <t>العدد</t>
  </si>
  <si>
    <t>الفئة</t>
  </si>
  <si>
    <t>المبلغ</t>
  </si>
  <si>
    <t>الرصيد الدفتري</t>
  </si>
  <si>
    <t>الرصيد الفعلى</t>
  </si>
  <si>
    <t>الفرق</t>
  </si>
  <si>
    <t>ابو حمزه محمود هاشم</t>
  </si>
  <si>
    <t>دفعة من حساب تشطيبات شقة حسن رشدي ونادي المحافظة</t>
  </si>
  <si>
    <t xml:space="preserve">محمد كشري - المستلم ادهم </t>
  </si>
  <si>
    <t>دفعة من حساب تشوينات ابراج المستقبل</t>
  </si>
  <si>
    <t>سداد سلفة</t>
  </si>
  <si>
    <t>روبيل حمدي يونان</t>
  </si>
  <si>
    <t>قسط الشقة 210م - الدور السابع علوي - برج B1</t>
  </si>
  <si>
    <t>عمر على</t>
  </si>
  <si>
    <t>مسحوبات شخصية</t>
  </si>
  <si>
    <t>المستلم / عمرو كشري</t>
  </si>
  <si>
    <t>المستلم / هانى الحجار</t>
  </si>
  <si>
    <t>---------------------</t>
  </si>
  <si>
    <t>مقدم</t>
  </si>
  <si>
    <t>مقدم محل مساحه 200م B7</t>
  </si>
  <si>
    <t>هانى فاروق محمود</t>
  </si>
  <si>
    <t>قسط شقة ببرج A1</t>
  </si>
  <si>
    <t>محمد على - حديد</t>
  </si>
  <si>
    <t xml:space="preserve">ايراد المطعم </t>
  </si>
  <si>
    <t>صابون سائل للمطعم</t>
  </si>
  <si>
    <t>احمد على السيد</t>
  </si>
  <si>
    <t>قسط 184م الدور 7 علوي ببرج المنارة</t>
  </si>
  <si>
    <t>شروق جمال محمد</t>
  </si>
  <si>
    <t>مقدم شقة نموذج 20 - الدور 9 - المساحة 180م - برج C</t>
  </si>
  <si>
    <t>احمد عرفان</t>
  </si>
  <si>
    <t>معاينة غاز الدور السابع والدور 11</t>
  </si>
  <si>
    <t xml:space="preserve">مسحوبات شخصية ( عبد الرحمن السواح ) </t>
  </si>
  <si>
    <t xml:space="preserve">عمر على </t>
  </si>
  <si>
    <t>مصطفى عبد الهادي محمود</t>
  </si>
  <si>
    <t xml:space="preserve">باقى مقدم شقة 185م - الدور 10 - نموذج 17 </t>
  </si>
  <si>
    <t>سند استلام سابق 1182</t>
  </si>
  <si>
    <t xml:space="preserve">على كشري </t>
  </si>
  <si>
    <t>عهده</t>
  </si>
  <si>
    <t>شيك 116636
شيك 116637</t>
  </si>
  <si>
    <t>عهدة مكتب</t>
  </si>
  <si>
    <t>احمد سمير</t>
  </si>
  <si>
    <t>عمولة</t>
  </si>
  <si>
    <t>محمود جمال الدين امين</t>
  </si>
  <si>
    <t>مقدم حجز النموذج 1 - اداري 2 - مساحه 104 D</t>
  </si>
  <si>
    <t xml:space="preserve">حجز شقة برج B مساحة 183م - دور 6 علوي </t>
  </si>
  <si>
    <t>احمد شحاته عبد العليم</t>
  </si>
  <si>
    <t>مقد شقة 195م - الدور 5 - نموذج 23 - برج B</t>
  </si>
  <si>
    <t>اللؤلؤة - شدة الكهرباء</t>
  </si>
  <si>
    <t>عمرو كشري</t>
  </si>
  <si>
    <t>دفعة من حساب اعمال خرسانات - ابراج المستقبل</t>
  </si>
  <si>
    <t>محمود عوض الله</t>
  </si>
  <si>
    <t>سداد فاتورة سيراميك الدور 11 - رقم 5370</t>
  </si>
  <si>
    <t>10ك فراخ +10ك كبدة + انتقالات</t>
  </si>
  <si>
    <t xml:space="preserve">طه محمود جابر </t>
  </si>
  <si>
    <t>عمولة شراء اجهزة كمبيوتر الحسابات</t>
  </si>
  <si>
    <t xml:space="preserve">عهدة اعمال </t>
  </si>
  <si>
    <t>تامر بردي</t>
  </si>
  <si>
    <t>احمد فريد</t>
  </si>
  <si>
    <t>كابلات باور وشاشة لاجهزة الكمبيوتر</t>
  </si>
  <si>
    <t>معلق</t>
  </si>
  <si>
    <t>ايراد المطعم 15-10-2023</t>
  </si>
  <si>
    <t>ايراد المطعم 16-10-2023</t>
  </si>
  <si>
    <t>مصطفى عبد المنعم احمد</t>
  </si>
  <si>
    <t>قسط شقة الدور 9 - مساحة 185 - النموذج 17 - برج D</t>
  </si>
  <si>
    <t>قسط شقة الدور 6 - برج D</t>
  </si>
  <si>
    <t>احمد مصطفى اسماعيل محمد</t>
  </si>
  <si>
    <t>قسط شقة - الدور الثامن - مساحة 130م - برج A10</t>
  </si>
  <si>
    <t>احمد على السيد جمعه</t>
  </si>
  <si>
    <t>مقدم شقة الدور 6 - مساحه 175م - النموذج 15 - برج D</t>
  </si>
  <si>
    <t>حساب 4 عربيات رمل - جراج المنارة</t>
  </si>
  <si>
    <t xml:space="preserve">محمد ممدوح </t>
  </si>
  <si>
    <t>سلفه - محل الكشري</t>
  </si>
  <si>
    <t xml:space="preserve">رمضان سيد - محمد على </t>
  </si>
  <si>
    <t>شيكات 116642 / 116641 / 116639 / 116640</t>
  </si>
  <si>
    <t>ايراد المحل</t>
  </si>
  <si>
    <t>احمد فاروق</t>
  </si>
  <si>
    <t>سفه</t>
  </si>
  <si>
    <t xml:space="preserve">محمد كشري </t>
  </si>
  <si>
    <t>من حساب تشوينات ابراج المستقبل</t>
  </si>
  <si>
    <t xml:space="preserve">حساب فاتورة توابل مطعم الكشري </t>
  </si>
  <si>
    <t>ايهاب شعبان صابر</t>
  </si>
  <si>
    <t>قسط شقة برج A8 - مساحه 141م - دور 4</t>
  </si>
  <si>
    <t>احمد البرنس</t>
  </si>
  <si>
    <t>محمد  رافت حسان</t>
  </si>
  <si>
    <t xml:space="preserve">ستائر محل الدهب </t>
  </si>
  <si>
    <t>الحاج ايمن عوض الله</t>
  </si>
  <si>
    <t>مسحوبات شخصية للحاج احمد</t>
  </si>
  <si>
    <t xml:space="preserve">ايمن عوض الله </t>
  </si>
  <si>
    <t>مروان محمد اشرف</t>
  </si>
  <si>
    <t>جزء من مقدم الشقة 185م - الدور الثامن - علوي D</t>
  </si>
  <si>
    <t>احمد جابر مصطفى</t>
  </si>
  <si>
    <t>حجز شقة 183م - الدور التاسع -برج D</t>
  </si>
  <si>
    <t>برج الاطباء - مقدم شقة 116م</t>
  </si>
  <si>
    <t xml:space="preserve">تم رد المبلغ </t>
  </si>
  <si>
    <t>عادل احمد سلومه</t>
  </si>
  <si>
    <t>قسط الشقة 175م - الدور 7 - برج A10</t>
  </si>
  <si>
    <t>قسط الشقة 130م - الدور 7 - برج A10</t>
  </si>
  <si>
    <t>حماده الحنبلى</t>
  </si>
  <si>
    <t>دفعة من حساب الطماطم</t>
  </si>
  <si>
    <t>محمد حسني - دار المراد</t>
  </si>
  <si>
    <t xml:space="preserve">عمل 6 فتحات كور بالخرسانه </t>
  </si>
  <si>
    <t>اكرامية الحي لبرج المنيرة</t>
  </si>
  <si>
    <t>طلبات محل الكشري</t>
  </si>
  <si>
    <t>عمر على - عبد الرحمن سيد على</t>
  </si>
  <si>
    <t>محل الدهب</t>
  </si>
  <si>
    <t>دفعة سداد خاصة بالحاج</t>
  </si>
  <si>
    <t>100000خاصة بالحاج
20000عهده</t>
  </si>
  <si>
    <t>خالد بدوي</t>
  </si>
  <si>
    <t xml:space="preserve">من حساب مصنعيات كراسي المركب </t>
  </si>
  <si>
    <t>حجز شقة 183م - الدور التاسع -برج D - سند سابق 1191</t>
  </si>
  <si>
    <t>محمد رافت - ستائر</t>
  </si>
  <si>
    <t>حساب ستارة بمحل الدهب</t>
  </si>
  <si>
    <t>10ك فراخ + 10ك كبدة + 5م موتزريلا</t>
  </si>
  <si>
    <t>مصطفى ربيع</t>
  </si>
  <si>
    <t>باقى مقدم شقة 116م -  برج الاطباء</t>
  </si>
  <si>
    <t>-</t>
  </si>
  <si>
    <t>3عربيات رمل - جراج المناره</t>
  </si>
  <si>
    <t>دفعة2 - حجز شقة 183م - الدور الرابع - برج D - ابراج المستقبل</t>
  </si>
  <si>
    <t>من حساب الطماطم</t>
  </si>
  <si>
    <t>توابل وحبهان واطباق طواجن</t>
  </si>
  <si>
    <t xml:space="preserve">رد سلفة الحاج ايمن عوض الله </t>
  </si>
  <si>
    <t xml:space="preserve">من حساب تشوينات ابراج المستقبل </t>
  </si>
  <si>
    <t>هانى الحجار</t>
  </si>
  <si>
    <t xml:space="preserve">من حساب اعمال رخام بمحل الدهب </t>
  </si>
  <si>
    <t>ايراج المطعم 22-10-2023</t>
  </si>
  <si>
    <t>ايراج المطعم 23-10-2023</t>
  </si>
  <si>
    <t>رمضان سيد - محمد على</t>
  </si>
  <si>
    <t xml:space="preserve">دفعه من الحساب </t>
  </si>
  <si>
    <t>شراء 2 فتالة - 2بيرسول - 2ك اكياس</t>
  </si>
  <si>
    <t>سالم صادق عبد السلام</t>
  </si>
  <si>
    <t>حجز الدور السادس - نموذج 23 - برج B - ابراج المستقبل</t>
  </si>
  <si>
    <t>نبيل يوسف زكي</t>
  </si>
  <si>
    <t>قسط الشقة 170م - الدور الخامس - برج A6</t>
  </si>
  <si>
    <t>عصام حامد محمود</t>
  </si>
  <si>
    <t>قسط الشقة برج A6</t>
  </si>
  <si>
    <t xml:space="preserve">شهاب </t>
  </si>
  <si>
    <t>مسحوبات شخصية للحاج احمد كشري</t>
  </si>
  <si>
    <t>فرق السيارة السيراتو</t>
  </si>
  <si>
    <t>دفعة3 - حجز شقة 183م - الدور الرابع - برج D - ابراج المستقبل باقى 2200ج مع اول قسط</t>
  </si>
  <si>
    <t>الحاج اسامه رشدي</t>
  </si>
  <si>
    <t>حماده الحنبلي</t>
  </si>
  <si>
    <t>جمال البنا</t>
  </si>
  <si>
    <t>من حساب مصنعيات B7</t>
  </si>
  <si>
    <t xml:space="preserve">شراء </t>
  </si>
  <si>
    <t>عهده مكتب</t>
  </si>
  <si>
    <t>ياسر عبد العظيم الوميتال</t>
  </si>
  <si>
    <t>الدور 11 - دفعة من اجمالى الحساب 85000 ج</t>
  </si>
  <si>
    <t>محمد كشري</t>
  </si>
  <si>
    <t>دفعة من حساب التشوينات / ابراج المستقبل</t>
  </si>
  <si>
    <t>22م رمل - جراج المنارة</t>
  </si>
  <si>
    <t>10كبدة +انتقالات</t>
  </si>
  <si>
    <t>دفعة2 - من حساب مصنعيات محل الدهب</t>
  </si>
  <si>
    <t>ايهاب احمد عبد الحميد</t>
  </si>
  <si>
    <t>عمل لافته دعايه - برج المنيره</t>
  </si>
  <si>
    <t xml:space="preserve">عهده </t>
  </si>
  <si>
    <t>ايراد المطعم 26-10-2023</t>
  </si>
  <si>
    <t>ايراد المطعم 27-10-2023</t>
  </si>
  <si>
    <t>ايراد المطعم 25-10-2023</t>
  </si>
  <si>
    <t>1طن اسمنت - الدور11مشال -</t>
  </si>
  <si>
    <t>دخول من الحاج</t>
  </si>
  <si>
    <t xml:space="preserve">هدي معوض عبد الفتاح عبد الفتاح عبد العال </t>
  </si>
  <si>
    <t>شقة - الدور الرابع علوي - نموج 3 - مساحه 146 - B4</t>
  </si>
  <si>
    <t>مصطفى نجوب</t>
  </si>
  <si>
    <t>قسط برج B8</t>
  </si>
  <si>
    <t>محمد مصطفى خلف</t>
  </si>
  <si>
    <t>من حساب الشقه 145م - الدور الثاني علوي - برج B3</t>
  </si>
  <si>
    <t>احمد علام عبد الله على</t>
  </si>
  <si>
    <t>جدية حجز شقة 299م - ابراج المستقبل - برج A -  الدور 11 - سعر المتر 12000ج</t>
  </si>
  <si>
    <t>احمد مصطفى محمد</t>
  </si>
  <si>
    <t>قسط الشقة 150م الدور السادس علوي برج B4</t>
  </si>
  <si>
    <t>محمد فكري</t>
  </si>
  <si>
    <t>حجز الشقة 315م - ابراج المستقبل - برج D</t>
  </si>
  <si>
    <t xml:space="preserve">عهدة مكتب </t>
  </si>
  <si>
    <t xml:space="preserve">عهدة </t>
  </si>
  <si>
    <t>تم التسليم الى هانى قاياتي مقابل ايداع المبلغ بالبنك</t>
  </si>
  <si>
    <t>نقل ركش - الدور 7 - شقة الحاج على السنراوي</t>
  </si>
  <si>
    <t>كامل حساب توريد وتركيب رخام محل الدهب</t>
  </si>
  <si>
    <t>محمد على حديد</t>
  </si>
  <si>
    <t>على السنراوي</t>
  </si>
  <si>
    <t>دفعة من حساب تشطيبات الدور السابع - شقة 242م</t>
  </si>
  <si>
    <t>محمد غيث عزيز</t>
  </si>
  <si>
    <t>جزء من مقدم الشقة 173م - الدور 11 - برج D - ابراج المستقبل</t>
  </si>
  <si>
    <t>جزء من مقدم الشقة 185م - الدور 11 برج D - ابراج المستقبل</t>
  </si>
  <si>
    <t>وائل محمود على عبد العال</t>
  </si>
  <si>
    <t>حجز الشقه 207م الدور الخامس علوي برج A  ابراج المستقبل</t>
  </si>
  <si>
    <t>محسن بكري جوده</t>
  </si>
  <si>
    <t>قسط شقة - الدور السادس - المساحة 130م - فيو بارك</t>
  </si>
  <si>
    <t>نصف كيلو اكياس صلصة</t>
  </si>
  <si>
    <t>10ك فراخ</t>
  </si>
  <si>
    <t xml:space="preserve">مسحوبات شخصية للحاج احمد </t>
  </si>
  <si>
    <t>زيت ومعالق وغطاء طواجن للمطعم</t>
  </si>
  <si>
    <t>محمد عباس - السباك</t>
  </si>
  <si>
    <t>فاتورة سباكه + مصنعية - الدور 7 على السنراوي</t>
  </si>
  <si>
    <t>محمد جمال فاروق</t>
  </si>
  <si>
    <t>قسط الشقه 165م - الدور 5 برج B10</t>
  </si>
  <si>
    <t>قسط الشقه 175م - الدور الثالث - برج B7</t>
  </si>
  <si>
    <t>نادر احمد حميده</t>
  </si>
  <si>
    <t>قسط المحل 200م برج المنارة</t>
  </si>
  <si>
    <t>احمد رمضان جمعه</t>
  </si>
  <si>
    <t>من حساب A6</t>
  </si>
  <si>
    <t>ايراد المطعم 29-10-2023</t>
  </si>
  <si>
    <t>محمد حمدي - تكييفات</t>
  </si>
  <si>
    <t>1050تصليح تككيف المكتب +1000 من حساب مصنعية محل الدهب +800 حوامل للتكييف</t>
  </si>
  <si>
    <t>قسط الشقة 119م الدور الخامس برج المنارة</t>
  </si>
  <si>
    <t>باقى مقدم الشقة 173م الدور 11 - برج D - ابراج المستقبل</t>
  </si>
  <si>
    <t>استكمالا لسندات استلام رقم
1065 - 1169 -1103 -1204</t>
  </si>
  <si>
    <t>احمد الجبالي - نجاره مسلح</t>
  </si>
  <si>
    <t>حساب كمرة مول الصحراوي</t>
  </si>
  <si>
    <t>من حساب مصنعية - طريق مصر اسكندرية</t>
  </si>
  <si>
    <t>رجب عطا الله عبد الرحمن</t>
  </si>
  <si>
    <t xml:space="preserve">باقى مقدمات </t>
  </si>
  <si>
    <t>حاتم النيي</t>
  </si>
  <si>
    <t>ممارسات الكهرباء</t>
  </si>
  <si>
    <t>موتزريلا</t>
  </si>
  <si>
    <t>ايجار السيارة 10-2023</t>
  </si>
  <si>
    <t>محمود رمضان المحاسب</t>
  </si>
  <si>
    <t>رد عهده</t>
  </si>
  <si>
    <t>ناصر محل الكشري</t>
  </si>
  <si>
    <t>سداد فاتورة التوابل والمكرونه</t>
  </si>
  <si>
    <t>رواتب شهر 10-2023</t>
  </si>
  <si>
    <t xml:space="preserve">الحاج احمد </t>
  </si>
  <si>
    <t>رمضان سيد - محمد حديد</t>
  </si>
  <si>
    <t>دفعات</t>
  </si>
  <si>
    <t>سداد فواتير ادوات كهرباء سيتى بلازا وورشة الرخام</t>
  </si>
  <si>
    <t>حجز شقة 315م - ابراج المستقبل - برج d</t>
  </si>
  <si>
    <t>عمر على - ممس</t>
  </si>
  <si>
    <t>ايراد المطعم 30-10</t>
  </si>
  <si>
    <t xml:space="preserve">ايمن </t>
  </si>
  <si>
    <t>عهدة - سداد فواتير دهانات الزيني</t>
  </si>
  <si>
    <t>ناصر سيد محمد حسانين</t>
  </si>
  <si>
    <t>قسط الشقه 139م - الدور 3 علوي - برج A8</t>
  </si>
  <si>
    <t>من حساب التشطيبات</t>
  </si>
  <si>
    <t>احمد محمد وحيد</t>
  </si>
  <si>
    <t>قسد المحل 25م - ابراج المستقبل</t>
  </si>
  <si>
    <t>تنفيذ اعمال ببرج باغوص - 500 نقدي / 200 شيكات / 300بالبنك</t>
  </si>
  <si>
    <t>137403
52307
التجاري وفا</t>
  </si>
  <si>
    <t>محمد رمضان سعداوي</t>
  </si>
  <si>
    <t>حساب شقة - فيو بارك - B2</t>
  </si>
  <si>
    <t>شيك 116650</t>
  </si>
  <si>
    <t>مسحوبات شخصية الحاج احمد</t>
  </si>
  <si>
    <t>احمد شاكر</t>
  </si>
  <si>
    <t>قسط الشقة 194م - الدور العاشر - برج المنارة</t>
  </si>
  <si>
    <t>عرفه عبد التواب سيد</t>
  </si>
  <si>
    <t>قسط الشقه 153م - الدور الرابع - المنارة قسط شهري 10 و 11-2023</t>
  </si>
  <si>
    <t>باقى حساب ممارسات الكهرباء - برج المنارة</t>
  </si>
  <si>
    <t>كاوتشات سيارة السيراتو</t>
  </si>
  <si>
    <t>احمد الديان</t>
  </si>
  <si>
    <t>من حساب توريد وتركيب ابواب صاج محلات برج المنارة</t>
  </si>
  <si>
    <t>محمد على محمد السيد</t>
  </si>
  <si>
    <t>قسط الشقة 130م - الدور 3 - برج B7</t>
  </si>
  <si>
    <t>تامر رجب شعبان</t>
  </si>
  <si>
    <t>تم ايصال المبلغ الى الحاج يوم 12-10-2023</t>
  </si>
  <si>
    <t>احمد ابو بكر الشوشاني</t>
  </si>
  <si>
    <t>قسط الشقة 194م - الدور 9 - برج المنارة</t>
  </si>
  <si>
    <t>معتصم محمد عبد الوهاب</t>
  </si>
  <si>
    <t>قسط 1 - شقة 186م - الدور 6 علوي - برج D</t>
  </si>
  <si>
    <t>قسط الشقة 185م - الدور 2 علوي - برج B1</t>
  </si>
  <si>
    <t>وائل محمد عبد المجيد</t>
  </si>
  <si>
    <t>قسط B11</t>
  </si>
  <si>
    <t xml:space="preserve">محمود البحار </t>
  </si>
  <si>
    <t>10ك بانيه</t>
  </si>
  <si>
    <t>من حساب مصنعة سباكة الدور 7 - على السنراوي</t>
  </si>
  <si>
    <t>اسامه رشدي</t>
  </si>
  <si>
    <t>مسحوبات شخصية - ترخيص سيارته</t>
  </si>
  <si>
    <t>اكياس وخل للمطعم</t>
  </si>
  <si>
    <t>محمد تكييف</t>
  </si>
  <si>
    <t>دفعن من حساب الخامات - الدور 7 - شقة على السنراوي</t>
  </si>
  <si>
    <t>محمد صابر ممس</t>
  </si>
  <si>
    <t>22م رمله × 110ج - جراج المناره</t>
  </si>
  <si>
    <t>دفعة من حساب البصل</t>
  </si>
  <si>
    <t xml:space="preserve">حماده الحنبلي </t>
  </si>
  <si>
    <t>1000$</t>
  </si>
  <si>
    <t xml:space="preserve">فاطمة عبد الله محمد </t>
  </si>
  <si>
    <t>عمرو رفاعي</t>
  </si>
  <si>
    <t>قسط سيارة</t>
  </si>
  <si>
    <t>احمد عبد السلام وعبير عادل</t>
  </si>
  <si>
    <t>قسط شقة 175م الدور السادس علوي برج A10</t>
  </si>
  <si>
    <t>تم صرف الشيكات  52307 - 137403</t>
  </si>
  <si>
    <t>ايداع بالبنك</t>
  </si>
  <si>
    <t>المنشية</t>
  </si>
  <si>
    <t>حساب شقة - فيو بارك - B2 - تم صرفه من البنك</t>
  </si>
  <si>
    <t>مبلغ مصطفى نجوب بسند استلام 1229</t>
  </si>
  <si>
    <t>سيتى بلازا</t>
  </si>
  <si>
    <t xml:space="preserve">فودافون كاش شهاب </t>
  </si>
  <si>
    <t>عهده  ( سداد 13800 عمر فاروق - 10000 رمضان محاره )</t>
  </si>
  <si>
    <t>13800عمر فاروق - 10000 رمضان محاره</t>
  </si>
  <si>
    <t>10ك بانيه + 10 كبده</t>
  </si>
  <si>
    <t>محمد نجم الدين عبد العليم</t>
  </si>
  <si>
    <t>حجز شقة الدور الثاني - مساحة 135م - نموذج 3 - فيو بارك -  برج A3</t>
  </si>
  <si>
    <t>100ج بنزين و100ج صيانة موتسيكل</t>
  </si>
  <si>
    <t xml:space="preserve">احمد عيد </t>
  </si>
  <si>
    <t>رانب شهر 10-2023</t>
  </si>
  <si>
    <t xml:space="preserve">1طن اسمنت شقة علي السنراوي </t>
  </si>
  <si>
    <t xml:space="preserve">د/ سعد </t>
  </si>
  <si>
    <t xml:space="preserve">اخر دفعة من ح/ برج المنيرة </t>
  </si>
  <si>
    <t xml:space="preserve">دفعة من ح/ الخامات لحين ورود الفاتورة </t>
  </si>
  <si>
    <t xml:space="preserve">مشتريات المحل حسب المرفق </t>
  </si>
  <si>
    <t>مصطفي عبد الهادي محمود</t>
  </si>
  <si>
    <t>حجز شقة 183م برج Bالدور 6</t>
  </si>
  <si>
    <t>قسط شقة 130م الدور 8 برج B7</t>
  </si>
  <si>
    <t>محمد مصطفي معروف</t>
  </si>
  <si>
    <t>قسط شقة 138 م الدور 4 برج A4</t>
  </si>
  <si>
    <t>يوم 1-11-2023</t>
  </si>
  <si>
    <t>يوم 2-11-2023</t>
  </si>
  <si>
    <t>يوم 3-11-2023</t>
  </si>
  <si>
    <t xml:space="preserve">شعبان عشري </t>
  </si>
  <si>
    <t>كامل حساب ابواب صاج محلات المنارة</t>
  </si>
  <si>
    <t>كامل مصنعية اعمال التكييف - الدور 7 - على السنراوي</t>
  </si>
  <si>
    <t>باقى حساب البصل والطماطم حتى 5-11-2023</t>
  </si>
  <si>
    <t>محمد ربيع محمد قطب</t>
  </si>
  <si>
    <t>قسط 1 - الدور 6 -مساحه 135م - نموذج 4- برج A3</t>
  </si>
  <si>
    <t>احمد عيد محمد على</t>
  </si>
  <si>
    <t>قسط الشقة 183م - الدور 4 - برج B - ابراج المستقبل</t>
  </si>
  <si>
    <t xml:space="preserve">خالد عوض الله </t>
  </si>
  <si>
    <t>قسط الشقة 175م - الدور التاسع - برج B6</t>
  </si>
  <si>
    <t>سماح صلاح عبد الحميد</t>
  </si>
  <si>
    <t>مقدم شقة النموذج 3 - الدور 5 - المساحه - 178 - برج D - ابراج المستقبل</t>
  </si>
  <si>
    <t>محمود محمد مجدي</t>
  </si>
  <si>
    <t>مقدم شقة النموذج 16 - الدور 4 - المساحة 171 - برج D - ابراج المستقبل</t>
  </si>
  <si>
    <t>محمود عوض محمود</t>
  </si>
  <si>
    <t>كامل حساب التشوين حنى 4-11-2023 باغوص 2</t>
  </si>
  <si>
    <t>حساب فواتير سيراميك اللؤلؤة 5461 / 5464</t>
  </si>
  <si>
    <t xml:space="preserve">مسحوبات شخصية الحاج احمد </t>
  </si>
  <si>
    <t xml:space="preserve">من حساب خالد وباقى له 100000 ج </t>
  </si>
  <si>
    <t xml:space="preserve">ايداع البنك حساب الشركة </t>
  </si>
  <si>
    <t>ايداع البنك الحساب الشخصي</t>
  </si>
  <si>
    <t xml:space="preserve">احمد علام عبد الله على </t>
  </si>
  <si>
    <t>باقى مقدم الشقه مساحه 299م الدور 11 - برج A - ابراج المستقبل</t>
  </si>
  <si>
    <t xml:space="preserve">تم ايداع المبلغ بالبنك </t>
  </si>
  <si>
    <t>عمر عبد المنعم مصطفى</t>
  </si>
  <si>
    <t>قسط الشقة 185م - الدور 11 - برج المنارة</t>
  </si>
  <si>
    <t xml:space="preserve">من حساب تشطيبات الشقه </t>
  </si>
  <si>
    <t xml:space="preserve">سامية عبد الله عبد الرسول </t>
  </si>
  <si>
    <t>قسط الشقة 194م - الدور 2 - برج المنارة</t>
  </si>
  <si>
    <t>د. محمد فكري</t>
  </si>
  <si>
    <t>حجز شقة 188م - الدور 6 - ابراج المستقبل - برج D</t>
  </si>
  <si>
    <t>بدور بكار</t>
  </si>
  <si>
    <t>قسط الشقه 130م - الدور 6 - برج B6</t>
  </si>
  <si>
    <t>نسيم شعبان عبد المقصود</t>
  </si>
  <si>
    <t>قسط الشقه 165م - دور 8 برج A2</t>
  </si>
  <si>
    <t xml:space="preserve">ندي سيد هاشم </t>
  </si>
  <si>
    <t xml:space="preserve">قسط الشقة - برج المنارة - ايصال امانة </t>
  </si>
  <si>
    <t>عمولة 5% - شراء سيرفير</t>
  </si>
  <si>
    <t>احمد اسماعيل</t>
  </si>
  <si>
    <t>ايجار محل الدهب</t>
  </si>
  <si>
    <t xml:space="preserve">باقى حساب ممارسة الكهرباء </t>
  </si>
  <si>
    <t>الغاء شيك رقم 116646 - وتم صرفه نقدي</t>
  </si>
  <si>
    <t>.............................</t>
  </si>
  <si>
    <t>قسط الشقه 210م - الدور 7 - فيو بارك - B1</t>
  </si>
  <si>
    <t>طه محمود جابر</t>
  </si>
  <si>
    <t>قيمة شحن السيرفير وانتقالات</t>
  </si>
  <si>
    <t>احمد حسين على</t>
  </si>
  <si>
    <t>قسط الشقة 135م - الدور 2 - برج A3 - فيو بارك</t>
  </si>
  <si>
    <t>شهد باسم عبد النبي قاسم</t>
  </si>
  <si>
    <t xml:space="preserve">120كيلو زيت × 60 ج </t>
  </si>
  <si>
    <t>فرج صلاح - البنا</t>
  </si>
  <si>
    <t xml:space="preserve"> من حساب المصنعية  / الدور 7 - على السنراوي</t>
  </si>
  <si>
    <t>تنفيذ اعمال ب باغوص 2</t>
  </si>
  <si>
    <t>معلق - شراء كبدة وبكر كاشير</t>
  </si>
  <si>
    <t>روبيل مجدي يونان</t>
  </si>
  <si>
    <t>الدور 7 - على السنراوي - تشوينات</t>
  </si>
  <si>
    <t xml:space="preserve">صلاح الظابط </t>
  </si>
  <si>
    <t xml:space="preserve">عهدة - بالترتيب مع شهاب </t>
  </si>
  <si>
    <t>10شكاير سافيتو - الدور 11</t>
  </si>
  <si>
    <t>شراء ثوم للمطعم</t>
  </si>
  <si>
    <t>محمد حسني دار المراد</t>
  </si>
  <si>
    <t>550ج  لافتة دعاية لابراج المستقبل 
10000ج من ح/ دعاية ابراج المستقبل 
2000ج راتب غفير برج المنيره</t>
  </si>
  <si>
    <t>2200ج    20ك كبدة
500ج   بكر كاشير 
575ج    جبنة موتزريلا 
25ج   انتقالاتك</t>
  </si>
  <si>
    <t>ابو احمد طارق - الكهربائي</t>
  </si>
  <si>
    <t>دفعة من ح/ اعمال الكهرباء - ابراج المستقبل</t>
  </si>
  <si>
    <t>صالح ابراهيم صالح و شيماء السيد محمد</t>
  </si>
  <si>
    <t>قسط الشقة 130م - الدور 2 - برج B6</t>
  </si>
  <si>
    <t>شركة بنيان العقارية</t>
  </si>
  <si>
    <t>قسط B9</t>
  </si>
  <si>
    <t>من حساب كراسي المركب</t>
  </si>
  <si>
    <t>بنزين للموتيسيكل</t>
  </si>
  <si>
    <t xml:space="preserve">رد المبلغ المعلق من من امس </t>
  </si>
  <si>
    <t>ايداع بالبنك لتغطية الحساب لصرف شيك محمد على</t>
  </si>
  <si>
    <t>بدل شيك رقم 116647</t>
  </si>
  <si>
    <t xml:space="preserve">فرج البنا </t>
  </si>
  <si>
    <t>700ج  باقى مصنعية البنا - الدور 7 على السنراوي 
200ج 2قطعة عتب</t>
  </si>
  <si>
    <t>دفعة من حساب مصنعية سباكة الدور 7 - على السنراوي</t>
  </si>
  <si>
    <t>نبيل - معلق</t>
  </si>
  <si>
    <t>شراء طلبات للمطعم</t>
  </si>
  <si>
    <t>مريان مرقس مهني جرجس</t>
  </si>
  <si>
    <t>قسط الشقة 119م - الدور 8 - برج المنارة</t>
  </si>
  <si>
    <t>تشوينا باغوص 2</t>
  </si>
  <si>
    <t>دفعة من ح B7</t>
  </si>
  <si>
    <t xml:space="preserve">  الدور 7 - على السنراوي  تكسير دار البلكونة وتنزيل الركش </t>
  </si>
  <si>
    <t>ملاك حلمي ثابت ونيس</t>
  </si>
  <si>
    <t>حجز - شقة 183م - برج D - الدور العاشر - ابراج المستقبل</t>
  </si>
  <si>
    <t>رشا جمال محمد احمد</t>
  </si>
  <si>
    <t>قسط الشقة 161م - الدور 9 - برج B10 - فيو بارك</t>
  </si>
  <si>
    <t xml:space="preserve">شعبان معمل مطعم الكشري </t>
  </si>
  <si>
    <t>محمد عباس</t>
  </si>
  <si>
    <t>دفعة من حساب مصنعية الدور 7 - على السنراوي</t>
  </si>
  <si>
    <t>احمد الظابط</t>
  </si>
  <si>
    <t xml:space="preserve">سداد فواتير كراتين المياه والكانز - مطعم الكشري </t>
  </si>
  <si>
    <t>حساب الطماطم حتى 12-11-2023</t>
  </si>
  <si>
    <t xml:space="preserve">صيانة موتوسيكل </t>
  </si>
  <si>
    <t>اسلام كشري</t>
  </si>
  <si>
    <t>-------------------------------</t>
  </si>
  <si>
    <t>تحصيل بالبنك</t>
  </si>
  <si>
    <t>نبيل معلق</t>
  </si>
  <si>
    <t>ايراد المطعم 31-10</t>
  </si>
  <si>
    <t xml:space="preserve">كزبرة وزبيب وحبهان </t>
  </si>
  <si>
    <t xml:space="preserve">سداد فاتورة مكرونة ومواد خام </t>
  </si>
  <si>
    <t xml:space="preserve">احمد فريد </t>
  </si>
  <si>
    <t xml:space="preserve">ترخيص العربية الكوديك </t>
  </si>
  <si>
    <t xml:space="preserve">رمضان سيد - محمد علي </t>
  </si>
  <si>
    <t>دفعة من ح/ الحديد</t>
  </si>
  <si>
    <t xml:space="preserve">عيد طوب </t>
  </si>
  <si>
    <t xml:space="preserve">دفعة من ح/ الطوب الاسمنتي </t>
  </si>
  <si>
    <t>20ك كبدة×1100ج و10ك فراخ ×155ج</t>
  </si>
  <si>
    <t xml:space="preserve">علي كشري </t>
  </si>
  <si>
    <t>شريف محمد علي محمد</t>
  </si>
  <si>
    <t>قسط شقة 130م الدور 5 برج B7</t>
  </si>
  <si>
    <t xml:space="preserve">عماد جلال عبود </t>
  </si>
  <si>
    <t>قسط شقة 147م الدور 4 برج B4</t>
  </si>
  <si>
    <t>احمد علام عبد الله</t>
  </si>
  <si>
    <t>مقدم شقة 299م الدور 6 برج A</t>
  </si>
  <si>
    <t>معلقات</t>
  </si>
  <si>
    <t xml:space="preserve">200000اسلام كشري  المتبقى من مبلغ 500000
500000الحاج احمد 
</t>
  </si>
  <si>
    <t>يوم 11-11-2023</t>
  </si>
  <si>
    <t>يوم 12-11-2023</t>
  </si>
  <si>
    <t xml:space="preserve">اسلام كشري </t>
  </si>
  <si>
    <t>رد سلفه - ومتبقى عليه 100 الف</t>
  </si>
  <si>
    <t>محمد ربيع - النقاش</t>
  </si>
  <si>
    <t>دفعة من اعمال دهانات - العلميين</t>
  </si>
  <si>
    <t>طلبات للمطعم حسب المرفق</t>
  </si>
  <si>
    <t>انجي طلعت فتحي احمد</t>
  </si>
  <si>
    <t>قسط الشقه 175 م - الدور الثانى - برج B7 - فيو بارك</t>
  </si>
  <si>
    <t>محمد ممدوح</t>
  </si>
  <si>
    <t>سلفه - مطعم الكشري</t>
  </si>
  <si>
    <t>ابراج المستقبل</t>
  </si>
  <si>
    <t>سداد فاتورة 5509 و 5532 اللؤلؤة وجراج المنارة</t>
  </si>
  <si>
    <t>اسماء حمدي فرج</t>
  </si>
  <si>
    <t>جزء من مقدم الشقة 130م - الدور 4 - برج A6 - فيو بارك</t>
  </si>
  <si>
    <t>ضياء الدين اسماعيل صفر</t>
  </si>
  <si>
    <t xml:space="preserve">قسط الشقه 180م - الدور 10 - </t>
  </si>
  <si>
    <t xml:space="preserve">طلبات ومشتريات المحل </t>
  </si>
  <si>
    <t xml:space="preserve">مسحوبات </t>
  </si>
  <si>
    <t xml:space="preserve">احمد فاروق </t>
  </si>
  <si>
    <t>من ح/ تشوينات باغوص 2</t>
  </si>
  <si>
    <t xml:space="preserve">هبة عبد الوهاب توفيق محمد </t>
  </si>
  <si>
    <t xml:space="preserve">حجز شقة 135م الدور 5 برج A3 </t>
  </si>
  <si>
    <t>حسين محمد رشيد</t>
  </si>
  <si>
    <t>شقة 173م الدور 6 برج B3</t>
  </si>
  <si>
    <t>قسط شقة 175م الدور 5 برج B7</t>
  </si>
  <si>
    <t xml:space="preserve">احمد عادل خليل </t>
  </si>
  <si>
    <t xml:space="preserve">قسط شقة 183م الدور 7 برج B </t>
  </si>
  <si>
    <t>يوم 7-11-2023</t>
  </si>
  <si>
    <t>يوم 8-11-2023</t>
  </si>
  <si>
    <t>يوم 9-11-2023</t>
  </si>
  <si>
    <t>يوم 10-11-2023</t>
  </si>
  <si>
    <t>رد المبلغ المعلق</t>
  </si>
  <si>
    <t>احمد رجب عبد العزيز</t>
  </si>
  <si>
    <t>قسط الشقه 130م - الدور 4 - فيو بارك - برج B7</t>
  </si>
  <si>
    <t>مصطفى عبد العظيم ذكي</t>
  </si>
  <si>
    <t>قسط الشقة 175م - الدور 8 - فيو بارك - برج A10</t>
  </si>
  <si>
    <t xml:space="preserve">رد المبلغ المعلق </t>
  </si>
  <si>
    <t>محمد رشاد جمعه</t>
  </si>
  <si>
    <t>قسط الشقة 175م - الدور 4 - نموذج ابراج A10 - فيو بارك</t>
  </si>
  <si>
    <t>فؤاد عبد الفتاح</t>
  </si>
  <si>
    <t>عموله مبيعات - ابراج المستقبل</t>
  </si>
  <si>
    <t>الحاج احمد - شهاب</t>
  </si>
  <si>
    <t>200000 نقدي 
500000 شيك 116651</t>
  </si>
  <si>
    <t xml:space="preserve">شيك 116651 </t>
  </si>
  <si>
    <t>تشوينات باغوص 2</t>
  </si>
  <si>
    <t>بدون</t>
  </si>
  <si>
    <t xml:space="preserve">مقدم -  207م الدور الخامس علوي برج A  ابراج المستقبل </t>
  </si>
  <si>
    <t>نبيل - البنك</t>
  </si>
  <si>
    <t>ايداع البنك</t>
  </si>
  <si>
    <t>محمد احمد عبد التواب رزق</t>
  </si>
  <si>
    <t>قسط الشقة 250م - الدور لثاني -  فيو بارك - B1</t>
  </si>
  <si>
    <t>رمضان عبد العزيز عبد العليم</t>
  </si>
  <si>
    <t>قسط شقة 190م -الدور الثامن - فيو بارك برج B2 - قسط السهم</t>
  </si>
  <si>
    <t>محمد عوض الله</t>
  </si>
  <si>
    <t>محمود نبيل درويش - النجار</t>
  </si>
  <si>
    <t>9ابواب - الدور 11</t>
  </si>
  <si>
    <t>مشتريات المطعم</t>
  </si>
  <si>
    <t xml:space="preserve">هانى الحجار </t>
  </si>
  <si>
    <t>رخام اسود + كوله - محل الدهب</t>
  </si>
  <si>
    <t>لقى ابو الدهب</t>
  </si>
  <si>
    <t>رد حجز د. محمد فكري بسند استلام 1241</t>
  </si>
  <si>
    <t>1500سلفه
100بنزين</t>
  </si>
  <si>
    <t xml:space="preserve">ملاك حلمي ثابت </t>
  </si>
  <si>
    <t>احمد صلاح عبد العظيم</t>
  </si>
  <si>
    <t>محمد ماضي</t>
  </si>
  <si>
    <t xml:space="preserve">احمد ربيع </t>
  </si>
  <si>
    <t>محمد نجم</t>
  </si>
  <si>
    <t>صيانة العربية</t>
  </si>
  <si>
    <t>ميشيل راغب</t>
  </si>
  <si>
    <t>احبار</t>
  </si>
  <si>
    <t xml:space="preserve">سداد سلفه احمد عزت </t>
  </si>
  <si>
    <t>ايراد المطعم 15-11-2023</t>
  </si>
  <si>
    <t>ايراد المطعم  16-11-2023</t>
  </si>
  <si>
    <t>سداد حساب الطماطم</t>
  </si>
  <si>
    <t>محمد صابر ممس -</t>
  </si>
  <si>
    <t>باقى مبلغ ال 10000 ج باقى صيانة السيارة البيجو</t>
  </si>
  <si>
    <t>ايراد المطعم 17-11-2023</t>
  </si>
  <si>
    <t>دخول من خزينة الحاج</t>
  </si>
  <si>
    <t>محمد صابر - ممس</t>
  </si>
  <si>
    <t>.......</t>
  </si>
  <si>
    <t>دفعة من حساب الحديد</t>
  </si>
  <si>
    <t xml:space="preserve">احمد الجبالى </t>
  </si>
  <si>
    <t>دفعة من مستخلص A6</t>
  </si>
  <si>
    <t>طروب عبد النبي عبد الباسط</t>
  </si>
  <si>
    <t>قسط الشقة 130م - الدور 6 - برج B7 - فيو بارك</t>
  </si>
  <si>
    <t xml:space="preserve">معلق </t>
  </si>
  <si>
    <t>رد المبلغ المعلق من امس</t>
  </si>
  <si>
    <t>ايراد المطعم 18-11-2023</t>
  </si>
  <si>
    <t>سداد فاتورة سباكة الدور 7 - على السنراوي</t>
  </si>
  <si>
    <t>محمد كشري - تشوينات</t>
  </si>
  <si>
    <t>6200قحافة
1200باغوص</t>
  </si>
  <si>
    <t xml:space="preserve">زيت للمطعم ومعالق وكاتشب </t>
  </si>
  <si>
    <t>قسط شقة 135م - الدور التاسع فيو بارك - برج A</t>
  </si>
  <si>
    <t>حساب الطاطم</t>
  </si>
  <si>
    <t>فاطمة عبد الله محمد</t>
  </si>
  <si>
    <t>مقدم شقة النموذج 3 - الدور 6 - مساحة 178م - المستقبل - برج D</t>
  </si>
  <si>
    <t>عبد الله عبد التواب - خوازيق مول الصحراوي</t>
  </si>
  <si>
    <t>اكراميات</t>
  </si>
  <si>
    <t>150000شيك 116655
150000شيك 116654</t>
  </si>
  <si>
    <t>باقى حساب الزيت والمعالق وفاتورة بنزين التريسيكل</t>
  </si>
  <si>
    <t>ايراد المطعم  19-11-2023</t>
  </si>
  <si>
    <t>ايداع شيك 116655
ايداع شيك 116654</t>
  </si>
  <si>
    <t>ايهاب عياد واصف</t>
  </si>
  <si>
    <t>قسط الشقه 160م - الدور 9 - برج B10-فيو بارك</t>
  </si>
  <si>
    <t xml:space="preserve">مسحوبات 
بيد على كشري </t>
  </si>
  <si>
    <t>هبد ابراهيم الدسوقى محمد حسن</t>
  </si>
  <si>
    <t>قسط شقة 172م - الدور 2 - برج B3 -فيو بارك</t>
  </si>
  <si>
    <t>قسط محل 25م - ابراج المستقبل</t>
  </si>
  <si>
    <t>احمد حسين محمد طه</t>
  </si>
  <si>
    <t>رمضان جلال احمد 
رشا حسين عبد الرحمن</t>
  </si>
  <si>
    <t>قسط شقة 143م - الدور 9 - برج B4 -  فيو بارك</t>
  </si>
  <si>
    <t>مصروفات من 
خزينة احمد عزت</t>
  </si>
  <si>
    <t>قسط من سهم برج B2</t>
  </si>
  <si>
    <t>سعيد زايد يونس</t>
  </si>
  <si>
    <t>قسط شقة 175م - الدور الرابع - برج B7 - فيو بارك</t>
  </si>
  <si>
    <t>محمد كشري - تشوين</t>
  </si>
  <si>
    <t>ادهم كشري
8020ج ح/باغوص
19730ج ح/ قحافة</t>
  </si>
  <si>
    <t>رجب جمعه عبد المقصود</t>
  </si>
  <si>
    <t>سلفه من الراتب ( غفير المنارة )</t>
  </si>
  <si>
    <t>كبدة وفراخ وموتزريلا</t>
  </si>
  <si>
    <t>مسحوبات - اصلاح غسالة الحاجه ومتبقى 4000 ج بيد نبيل شعبان</t>
  </si>
  <si>
    <t>حساب البصل والطماطم</t>
  </si>
  <si>
    <t>رد المعلق من امس</t>
  </si>
  <si>
    <t>احمد عيد - معمل</t>
  </si>
  <si>
    <t xml:space="preserve">مؤسسة الكهرباء  </t>
  </si>
  <si>
    <t>شهاب</t>
  </si>
  <si>
    <t>نبيل</t>
  </si>
  <si>
    <t>ايراد المطعم 21-11-2023</t>
  </si>
  <si>
    <t>امين عرفه ويمني فوزي</t>
  </si>
  <si>
    <t>قسط الشقة 185م - دور 2 - برج المنارة</t>
  </si>
  <si>
    <t>ابانوب عادل حبيب</t>
  </si>
  <si>
    <t>قسط الشقة 138م - الدور 4 - برج A4 - فيو بارك</t>
  </si>
  <si>
    <t>قسط الشقة 165م - فيو بارك برج B2</t>
  </si>
  <si>
    <t xml:space="preserve">محمد مصطفى خلف </t>
  </si>
  <si>
    <t>قسط الشقة 145م - دور 2 - برج B3 - فيو بارك</t>
  </si>
  <si>
    <t>امنية محسن السيد</t>
  </si>
  <si>
    <t>قسط الشقة 183م - الدور 7 - برج D -  المستقبل</t>
  </si>
  <si>
    <t>باقى عليه 95000 ج</t>
  </si>
  <si>
    <t>الامير مصطفى حسن</t>
  </si>
  <si>
    <t>رمضان سيد - شيك رقم 5784 CIB</t>
  </si>
  <si>
    <t>شيك 116656
شيك 116657</t>
  </si>
  <si>
    <t>ارك هاوس</t>
  </si>
  <si>
    <t>قسط ارض B11</t>
  </si>
  <si>
    <t>تم الدفع يوم 20-82023</t>
  </si>
  <si>
    <t>احمد حسين احمد</t>
  </si>
  <si>
    <t>قسط الشقة 190م - الدور 6 - برج B2  فيو بارك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</si>
</sst>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د_._إ_._‏_-;\-* #,##0.00\ _د_._إ_._‏_-;_-* &quot;-&quot;??\ _د_._إ_._‏_-;_-@_-"/>
    <numFmt numFmtId="165" formatCode="_-* #,##0\ _ج_._م_._‏_-;\-* #,##0\ _ج_._م_._‏_-;_-* &quot;-&quot;??\ _ج_._م_._‏_-;_-@_-"/>
    <numFmt numFmtId="166" formatCode="_-* #,##0\ _د_._إ_._‏_-;\-* #,##0\ _د_._إ_._‏_-;_-* &quot;-&quot;??\ _د_._إ_._‏_-;_-@_-"/>
  </numFmts>
  <fonts count="6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178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sz val="20"/>
      <color theme="1"/>
      <name val="Calibri"/>
      <family val="2"/>
      <charset val="178"/>
      <scheme val="minor"/>
    </font>
    <font>
      <b/>
      <sz val="16"/>
      <color theme="1"/>
      <name val="Calibri"/>
      <family val="2"/>
      <charset val="178"/>
      <scheme val="minor"/>
    </font>
    <font>
      <sz val="16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u/>
      <sz val="36"/>
      <color theme="1"/>
      <name val="Calibri"/>
      <family val="2"/>
      <scheme val="minor"/>
    </font>
    <font>
      <u/>
      <sz val="36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b/>
      <u/>
      <sz val="72"/>
      <color theme="1"/>
      <name val="Calibri"/>
      <family val="2"/>
      <scheme val="minor"/>
    </font>
    <font>
      <u/>
      <sz val="7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u/>
      <sz val="28"/>
      <color theme="1"/>
      <name val="Calibri"/>
      <family val="2"/>
      <scheme val="minor"/>
    </font>
    <font>
      <sz val="72"/>
      <color rgb="FFFF0000"/>
      <name val="Calibri"/>
      <family val="2"/>
      <scheme val="minor"/>
    </font>
    <font>
      <sz val="4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u/>
      <sz val="48"/>
      <color theme="1"/>
      <name val="Calibri"/>
      <family val="2"/>
      <scheme val="minor"/>
    </font>
    <font>
      <b/>
      <u val="singleAccounting"/>
      <sz val="48"/>
      <color theme="1"/>
      <name val="Calibri"/>
      <family val="2"/>
      <scheme val="minor"/>
    </font>
    <font>
      <b/>
      <u val="singleAccounting"/>
      <sz val="72"/>
      <color theme="1"/>
      <name val="Calibri"/>
      <family val="2"/>
      <scheme val="minor"/>
    </font>
    <font>
      <b/>
      <sz val="48"/>
      <color rgb="FFFF0000"/>
      <name val="Calibri"/>
      <family val="2"/>
      <scheme val="minor"/>
    </font>
    <font>
      <b/>
      <sz val="72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u val="singleAccounting"/>
      <sz val="36"/>
      <color theme="1"/>
      <name val="Calibri"/>
      <family val="2"/>
      <scheme val="minor"/>
    </font>
    <font>
      <b/>
      <u val="singleAccounting"/>
      <sz val="28"/>
      <color theme="1"/>
      <name val="Calibri"/>
      <family val="2"/>
      <scheme val="minor"/>
    </font>
    <font>
      <sz val="55"/>
      <color theme="1"/>
      <name val="Calibri"/>
      <family val="2"/>
      <scheme val="minor"/>
    </font>
    <font>
      <sz val="28"/>
      <color rgb="FFFF0000"/>
      <name val="Calibri"/>
      <family val="2"/>
      <scheme val="minor"/>
    </font>
    <font>
      <sz val="80"/>
      <color theme="1"/>
      <name val="Calibri"/>
      <family val="2"/>
      <scheme val="minor"/>
    </font>
    <font>
      <b/>
      <sz val="7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singleAccounting"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6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5" fillId="0" borderId="2" xfId="1" applyFont="1" applyBorder="1" applyAlignment="1">
      <alignment horizontal="center" vertical="center"/>
    </xf>
    <xf numFmtId="164" fontId="7" fillId="0" borderId="2" xfId="1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2" xfId="0" applyFont="1" applyBorder="1" applyAlignment="1">
      <alignment horizontal="center" vertical="center"/>
    </xf>
    <xf numFmtId="0" fontId="5" fillId="0" borderId="0" xfId="0" applyFont="1"/>
    <xf numFmtId="164" fontId="5" fillId="0" borderId="2" xfId="1" applyFont="1" applyBorder="1" applyAlignment="1"/>
    <xf numFmtId="0" fontId="5" fillId="3" borderId="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4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5" fontId="2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5" fillId="2" borderId="2" xfId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164" fontId="5" fillId="0" borderId="2" xfId="1" applyFont="1" applyBorder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/>
    </xf>
    <xf numFmtId="0" fontId="5" fillId="0" borderId="4" xfId="0" applyFont="1" applyBorder="1" applyAlignment="1">
      <alignment horizontal="center"/>
    </xf>
    <xf numFmtId="164" fontId="5" fillId="0" borderId="4" xfId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5" fillId="0" borderId="5" xfId="0" applyFont="1" applyBorder="1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14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5" fontId="8" fillId="0" borderId="7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164" fontId="12" fillId="0" borderId="10" xfId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164" fontId="13" fillId="0" borderId="12" xfId="1" applyFont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164" fontId="12" fillId="0" borderId="9" xfId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9" fillId="0" borderId="0" xfId="1" applyFont="1" applyAlignment="1">
      <alignment horizontal="center" vertical="center"/>
    </xf>
    <xf numFmtId="164" fontId="8" fillId="0" borderId="0" xfId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164" fontId="14" fillId="0" borderId="0" xfId="1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horizontal="center" vertical="center"/>
    </xf>
    <xf numFmtId="14" fontId="14" fillId="4" borderId="0" xfId="0" applyNumberFormat="1" applyFont="1" applyFill="1" applyAlignment="1">
      <alignment horizontal="center" vertical="center"/>
    </xf>
    <xf numFmtId="164" fontId="14" fillId="4" borderId="0" xfId="1" applyFont="1" applyFill="1" applyAlignment="1">
      <alignment horizontal="center" vertical="center"/>
    </xf>
    <xf numFmtId="0" fontId="14" fillId="4" borderId="0" xfId="0" applyFont="1" applyFill="1" applyAlignment="1">
      <alignment horizontal="right" vertical="center"/>
    </xf>
    <xf numFmtId="164" fontId="5" fillId="4" borderId="2" xfId="1" applyFont="1" applyFill="1" applyBorder="1" applyAlignment="1">
      <alignment horizontal="center" vertical="center"/>
    </xf>
    <xf numFmtId="164" fontId="14" fillId="0" borderId="0" xfId="1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4" fontId="16" fillId="0" borderId="12" xfId="1" applyFont="1" applyBorder="1" applyAlignment="1">
      <alignment horizontal="center" vertical="center"/>
    </xf>
    <xf numFmtId="164" fontId="16" fillId="0" borderId="13" xfId="1" applyFont="1" applyBorder="1" applyAlignment="1">
      <alignment horizontal="center" vertical="center"/>
    </xf>
    <xf numFmtId="164" fontId="15" fillId="0" borderId="0" xfId="1" applyFont="1" applyAlignment="1">
      <alignment horizontal="center" vertical="center"/>
    </xf>
    <xf numFmtId="164" fontId="17" fillId="0" borderId="11" xfId="0" applyNumberFormat="1" applyFont="1" applyBorder="1" applyAlignment="1">
      <alignment horizontal="center" vertical="center"/>
    </xf>
    <xf numFmtId="164" fontId="17" fillId="0" borderId="12" xfId="0" applyNumberFormat="1" applyFont="1" applyBorder="1" applyAlignment="1">
      <alignment horizontal="center" vertical="center"/>
    </xf>
    <xf numFmtId="164" fontId="17" fillId="0" borderId="13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9" xfId="1" applyFont="1" applyBorder="1" applyAlignment="1">
      <alignment horizontal="center" vertical="center" wrapText="1"/>
    </xf>
    <xf numFmtId="164" fontId="3" fillId="0" borderId="10" xfId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14" fontId="20" fillId="0" borderId="7" xfId="0" applyNumberFormat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165" fontId="20" fillId="0" borderId="7" xfId="1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164" fontId="16" fillId="0" borderId="1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14" fillId="4" borderId="0" xfId="1" applyFont="1" applyFill="1" applyAlignment="1">
      <alignment horizontal="right" vertical="center"/>
    </xf>
    <xf numFmtId="0" fontId="23" fillId="0" borderId="0" xfId="0" applyFont="1" applyAlignment="1">
      <alignment horizontal="center" vertical="center"/>
    </xf>
    <xf numFmtId="14" fontId="23" fillId="0" borderId="0" xfId="0" applyNumberFormat="1" applyFont="1" applyAlignment="1">
      <alignment horizontal="center" vertical="center"/>
    </xf>
    <xf numFmtId="164" fontId="23" fillId="0" borderId="0" xfId="1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3" fillId="4" borderId="0" xfId="0" applyFont="1" applyFill="1" applyAlignment="1">
      <alignment horizontal="center" vertical="center"/>
    </xf>
    <xf numFmtId="14" fontId="23" fillId="4" borderId="0" xfId="0" applyNumberFormat="1" applyFont="1" applyFill="1" applyAlignment="1">
      <alignment horizontal="center" vertical="center"/>
    </xf>
    <xf numFmtId="164" fontId="23" fillId="4" borderId="0" xfId="1" applyFont="1" applyFill="1" applyAlignment="1">
      <alignment horizontal="center" vertical="center"/>
    </xf>
    <xf numFmtId="0" fontId="23" fillId="4" borderId="0" xfId="0" applyFont="1" applyFill="1" applyAlignment="1">
      <alignment horizontal="right" vertical="center"/>
    </xf>
    <xf numFmtId="164" fontId="24" fillId="0" borderId="9" xfId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164" fontId="24" fillId="0" borderId="11" xfId="0" applyNumberFormat="1" applyFont="1" applyBorder="1" applyAlignment="1">
      <alignment horizontal="center" vertical="center"/>
    </xf>
    <xf numFmtId="164" fontId="24" fillId="0" borderId="12" xfId="1" applyFont="1" applyBorder="1" applyAlignment="1">
      <alignment horizontal="center" vertical="center"/>
    </xf>
    <xf numFmtId="164" fontId="24" fillId="0" borderId="13" xfId="1" applyFont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164" fontId="26" fillId="0" borderId="0" xfId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164" fontId="24" fillId="0" borderId="10" xfId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14" fontId="27" fillId="0" borderId="0" xfId="0" applyNumberFormat="1" applyFont="1" applyAlignment="1">
      <alignment horizontal="center" vertical="center"/>
    </xf>
    <xf numFmtId="164" fontId="27" fillId="0" borderId="0" xfId="1" applyFont="1" applyFill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4" borderId="0" xfId="0" applyFont="1" applyFill="1" applyAlignment="1">
      <alignment horizontal="center" vertical="center"/>
    </xf>
    <xf numFmtId="14" fontId="27" fillId="4" borderId="0" xfId="0" applyNumberFormat="1" applyFont="1" applyFill="1" applyAlignment="1">
      <alignment horizontal="center" vertical="center"/>
    </xf>
    <xf numFmtId="164" fontId="27" fillId="4" borderId="0" xfId="1" applyFont="1" applyFill="1" applyAlignment="1">
      <alignment horizontal="center" vertical="center"/>
    </xf>
    <xf numFmtId="0" fontId="27" fillId="4" borderId="0" xfId="0" applyFont="1" applyFill="1" applyAlignment="1">
      <alignment horizontal="right" vertical="center"/>
    </xf>
    <xf numFmtId="0" fontId="27" fillId="0" borderId="0" xfId="0" applyFont="1" applyAlignment="1">
      <alignment horizontal="right" vertical="center" wrapText="1"/>
    </xf>
    <xf numFmtId="0" fontId="28" fillId="0" borderId="6" xfId="0" applyFont="1" applyBorder="1" applyAlignment="1">
      <alignment horizontal="center" vertical="center" wrapText="1"/>
    </xf>
    <xf numFmtId="14" fontId="28" fillId="0" borderId="7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165" fontId="28" fillId="0" borderId="7" xfId="1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4" borderId="0" xfId="0" applyFont="1" applyFill="1" applyAlignment="1">
      <alignment horizontal="center" vertical="center"/>
    </xf>
    <xf numFmtId="14" fontId="28" fillId="4" borderId="0" xfId="0" applyNumberFormat="1" applyFont="1" applyFill="1" applyAlignment="1">
      <alignment horizontal="center" vertical="center"/>
    </xf>
    <xf numFmtId="164" fontId="28" fillId="4" borderId="0" xfId="1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14" fontId="28" fillId="0" borderId="0" xfId="0" applyNumberFormat="1" applyFont="1" applyAlignment="1">
      <alignment horizontal="center" vertical="center"/>
    </xf>
    <xf numFmtId="164" fontId="28" fillId="0" borderId="0" xfId="1" applyFont="1" applyFill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4" borderId="0" xfId="0" applyFont="1" applyFill="1" applyAlignment="1">
      <alignment horizontal="right" vertical="center"/>
    </xf>
    <xf numFmtId="0" fontId="28" fillId="0" borderId="0" xfId="0" applyFont="1" applyAlignment="1">
      <alignment horizontal="right" vertical="center"/>
    </xf>
    <xf numFmtId="164" fontId="28" fillId="0" borderId="0" xfId="1" applyFont="1" applyFill="1" applyAlignment="1">
      <alignment horizontal="right" vertical="center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164" fontId="29" fillId="0" borderId="9" xfId="1" applyFont="1" applyBorder="1" applyAlignment="1">
      <alignment horizontal="center" vertical="center" wrapText="1"/>
    </xf>
    <xf numFmtId="164" fontId="29" fillId="0" borderId="10" xfId="1" applyFont="1" applyBorder="1" applyAlignment="1">
      <alignment horizontal="center" vertical="center" wrapText="1"/>
    </xf>
    <xf numFmtId="164" fontId="29" fillId="0" borderId="11" xfId="0" applyNumberFormat="1" applyFont="1" applyBorder="1" applyAlignment="1">
      <alignment horizontal="center" vertical="center"/>
    </xf>
    <xf numFmtId="164" fontId="29" fillId="0" borderId="12" xfId="1" applyFont="1" applyBorder="1" applyAlignment="1">
      <alignment horizontal="center" vertical="center"/>
    </xf>
    <xf numFmtId="164" fontId="29" fillId="0" borderId="13" xfId="1" applyFont="1" applyBorder="1" applyAlignment="1">
      <alignment horizontal="center" vertical="center"/>
    </xf>
    <xf numFmtId="164" fontId="30" fillId="0" borderId="0" xfId="0" applyNumberFormat="1" applyFont="1" applyAlignment="1">
      <alignment horizontal="center" vertical="center"/>
    </xf>
    <xf numFmtId="164" fontId="28" fillId="0" borderId="0" xfId="1" applyFont="1" applyAlignment="1">
      <alignment horizontal="center" vertical="center"/>
    </xf>
    <xf numFmtId="164" fontId="29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164" fontId="31" fillId="0" borderId="0" xfId="1" applyFont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164" fontId="28" fillId="0" borderId="0" xfId="0" applyNumberFormat="1" applyFont="1" applyAlignment="1">
      <alignment vertical="center"/>
    </xf>
    <xf numFmtId="164" fontId="28" fillId="0" borderId="0" xfId="0" applyNumberFormat="1" applyFont="1" applyAlignment="1">
      <alignment horizontal="center" vertical="center"/>
    </xf>
    <xf numFmtId="0" fontId="23" fillId="0" borderId="0" xfId="0" applyFont="1"/>
    <xf numFmtId="0" fontId="32" fillId="4" borderId="0" xfId="0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164" fontId="33" fillId="0" borderId="0" xfId="1" applyFont="1" applyFill="1" applyAlignment="1">
      <alignment horizontal="center" vertical="center"/>
    </xf>
    <xf numFmtId="0" fontId="33" fillId="0" borderId="6" xfId="0" applyFont="1" applyBorder="1" applyAlignment="1">
      <alignment horizontal="center" vertical="center" wrapText="1"/>
    </xf>
    <xf numFmtId="14" fontId="33" fillId="0" borderId="7" xfId="0" applyNumberFormat="1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165" fontId="33" fillId="0" borderId="7" xfId="1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14" fontId="33" fillId="0" borderId="0" xfId="0" applyNumberFormat="1" applyFont="1" applyAlignment="1">
      <alignment horizontal="center" vertical="center"/>
    </xf>
    <xf numFmtId="164" fontId="33" fillId="0" borderId="0" xfId="1" applyFont="1" applyAlignment="1">
      <alignment horizontal="center" vertical="center"/>
    </xf>
    <xf numFmtId="0" fontId="33" fillId="0" borderId="0" xfId="0" applyFont="1" applyAlignment="1">
      <alignment horizontal="right" vertical="center"/>
    </xf>
    <xf numFmtId="0" fontId="33" fillId="4" borderId="2" xfId="0" applyFont="1" applyFill="1" applyBorder="1" applyAlignment="1">
      <alignment horizontal="center" vertical="center"/>
    </xf>
    <xf numFmtId="14" fontId="33" fillId="4" borderId="2" xfId="0" applyNumberFormat="1" applyFont="1" applyFill="1" applyBorder="1" applyAlignment="1">
      <alignment horizontal="center" vertical="center"/>
    </xf>
    <xf numFmtId="164" fontId="33" fillId="4" borderId="2" xfId="1" applyFont="1" applyFill="1" applyBorder="1" applyAlignment="1">
      <alignment horizontal="center" vertical="center"/>
    </xf>
    <xf numFmtId="0" fontId="33" fillId="4" borderId="2" xfId="0" applyFont="1" applyFill="1" applyBorder="1" applyAlignment="1">
      <alignment horizontal="right" vertical="center"/>
    </xf>
    <xf numFmtId="164" fontId="33" fillId="0" borderId="0" xfId="1" applyFont="1" applyFill="1" applyAlignment="1">
      <alignment horizontal="right" vertical="center"/>
    </xf>
    <xf numFmtId="0" fontId="33" fillId="0" borderId="0" xfId="0" applyFont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164" fontId="33" fillId="0" borderId="9" xfId="1" applyFont="1" applyBorder="1" applyAlignment="1">
      <alignment horizontal="center" vertical="center" wrapText="1"/>
    </xf>
    <xf numFmtId="164" fontId="33" fillId="0" borderId="10" xfId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34" fillId="0" borderId="0" xfId="0" applyFont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2" xfId="1" applyFont="1" applyBorder="1" applyAlignment="1">
      <alignment horizontal="center" vertical="center"/>
    </xf>
    <xf numFmtId="164" fontId="33" fillId="0" borderId="13" xfId="1" applyFont="1" applyBorder="1" applyAlignment="1">
      <alignment horizontal="center" vertical="center"/>
    </xf>
    <xf numFmtId="164" fontId="3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4" fillId="0" borderId="0" xfId="0" applyNumberFormat="1" applyFont="1" applyAlignment="1">
      <alignment vertical="center"/>
    </xf>
    <xf numFmtId="164" fontId="24" fillId="0" borderId="0" xfId="1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166" fontId="24" fillId="0" borderId="2" xfId="0" applyNumberFormat="1" applyFont="1" applyBorder="1" applyAlignment="1">
      <alignment horizontal="center" vertical="center"/>
    </xf>
    <xf numFmtId="166" fontId="24" fillId="0" borderId="2" xfId="1" applyNumberFormat="1" applyFont="1" applyBorder="1" applyAlignment="1">
      <alignment horizontal="center" vertical="center"/>
    </xf>
    <xf numFmtId="0" fontId="33" fillId="4" borderId="2" xfId="0" quotePrefix="1" applyFont="1" applyFill="1" applyBorder="1" applyAlignment="1">
      <alignment horizontal="right" vertical="center"/>
    </xf>
    <xf numFmtId="164" fontId="35" fillId="4" borderId="0" xfId="1" applyFont="1" applyFill="1" applyAlignment="1">
      <alignment horizontal="center" vertical="center"/>
    </xf>
    <xf numFmtId="164" fontId="35" fillId="0" borderId="0" xfId="1" applyFont="1" applyFill="1" applyAlignment="1">
      <alignment horizontal="center" vertical="center"/>
    </xf>
    <xf numFmtId="0" fontId="35" fillId="0" borderId="0" xfId="0" applyFont="1" applyAlignment="1">
      <alignment horizontal="center" vertical="center"/>
    </xf>
    <xf numFmtId="164" fontId="36" fillId="0" borderId="0" xfId="1" applyFont="1" applyFill="1" applyAlignment="1">
      <alignment horizontal="center" vertical="center"/>
    </xf>
    <xf numFmtId="164" fontId="36" fillId="4" borderId="0" xfId="1" applyFont="1" applyFill="1" applyAlignment="1">
      <alignment horizontal="center" vertical="center"/>
    </xf>
    <xf numFmtId="164" fontId="37" fillId="0" borderId="0" xfId="1" applyFont="1" applyFill="1" applyAlignment="1">
      <alignment horizontal="center" vertical="center"/>
    </xf>
    <xf numFmtId="164" fontId="37" fillId="0" borderId="0" xfId="1" applyFont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164" fontId="33" fillId="2" borderId="0" xfId="1" applyFont="1" applyFill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14" fillId="2" borderId="0" xfId="1" applyFont="1" applyFill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14" fontId="24" fillId="0" borderId="0" xfId="0" applyNumberFormat="1" applyFont="1" applyAlignment="1">
      <alignment horizontal="center" vertical="center"/>
    </xf>
    <xf numFmtId="164" fontId="24" fillId="0" borderId="0" xfId="1" applyFont="1" applyFill="1" applyAlignment="1">
      <alignment horizontal="center" vertical="center"/>
    </xf>
    <xf numFmtId="0" fontId="38" fillId="0" borderId="6" xfId="0" applyFont="1" applyBorder="1" applyAlignment="1">
      <alignment horizontal="center" vertical="center" wrapText="1"/>
    </xf>
    <xf numFmtId="14" fontId="38" fillId="0" borderId="7" xfId="0" applyNumberFormat="1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165" fontId="38" fillId="0" borderId="7" xfId="1" applyNumberFormat="1" applyFont="1" applyBorder="1" applyAlignment="1">
      <alignment horizontal="center" vertical="center" wrapText="1"/>
    </xf>
    <xf numFmtId="0" fontId="38" fillId="4" borderId="0" xfId="0" applyFont="1" applyFill="1" applyAlignment="1">
      <alignment horizontal="center" vertical="center"/>
    </xf>
    <xf numFmtId="0" fontId="38" fillId="0" borderId="0" xfId="0" applyFont="1" applyAlignment="1">
      <alignment horizontal="center" vertical="center"/>
    </xf>
    <xf numFmtId="14" fontId="38" fillId="0" borderId="0" xfId="0" applyNumberFormat="1" applyFont="1" applyAlignment="1">
      <alignment horizontal="center" vertical="center"/>
    </xf>
    <xf numFmtId="164" fontId="38" fillId="0" borderId="0" xfId="1" applyFont="1" applyAlignment="1">
      <alignment horizontal="center" vertical="center"/>
    </xf>
    <xf numFmtId="164" fontId="38" fillId="0" borderId="0" xfId="1" applyFont="1" applyFill="1" applyAlignment="1">
      <alignment horizontal="center" vertical="center"/>
    </xf>
    <xf numFmtId="14" fontId="38" fillId="4" borderId="0" xfId="0" applyNumberFormat="1" applyFont="1" applyFill="1" applyAlignment="1">
      <alignment horizontal="center" vertical="center"/>
    </xf>
    <xf numFmtId="164" fontId="38" fillId="4" borderId="0" xfId="1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right" vertical="center"/>
    </xf>
    <xf numFmtId="0" fontId="38" fillId="4" borderId="0" xfId="0" applyFont="1" applyFill="1" applyAlignment="1">
      <alignment horizontal="center" vertical="center" wrapText="1"/>
    </xf>
    <xf numFmtId="166" fontId="38" fillId="0" borderId="2" xfId="0" applyNumberFormat="1" applyFont="1" applyBorder="1" applyAlignment="1">
      <alignment horizontal="center" vertical="center"/>
    </xf>
    <xf numFmtId="166" fontId="38" fillId="0" borderId="2" xfId="1" applyNumberFormat="1" applyFont="1" applyBorder="1" applyAlignment="1">
      <alignment horizontal="center" vertical="center"/>
    </xf>
    <xf numFmtId="0" fontId="38" fillId="0" borderId="0" xfId="0" applyFont="1" applyAlignment="1">
      <alignment horizontal="right" vertical="center"/>
    </xf>
    <xf numFmtId="0" fontId="27" fillId="0" borderId="0" xfId="0" applyFont="1"/>
    <xf numFmtId="164" fontId="38" fillId="0" borderId="0" xfId="0" applyNumberFormat="1" applyFont="1" applyAlignment="1">
      <alignment horizontal="center" vertical="center"/>
    </xf>
    <xf numFmtId="0" fontId="38" fillId="5" borderId="6" xfId="0" applyFont="1" applyFill="1" applyBorder="1" applyAlignment="1">
      <alignment horizontal="center" vertical="center" wrapText="1"/>
    </xf>
    <xf numFmtId="14" fontId="38" fillId="5" borderId="7" xfId="0" applyNumberFormat="1" applyFont="1" applyFill="1" applyBorder="1" applyAlignment="1">
      <alignment horizontal="center" vertical="center" wrapText="1"/>
    </xf>
    <xf numFmtId="0" fontId="38" fillId="5" borderId="7" xfId="0" applyFont="1" applyFill="1" applyBorder="1" applyAlignment="1">
      <alignment horizontal="center" vertical="center" wrapText="1"/>
    </xf>
    <xf numFmtId="165" fontId="38" fillId="5" borderId="7" xfId="1" applyNumberFormat="1" applyFont="1" applyFill="1" applyBorder="1" applyAlignment="1">
      <alignment horizontal="center" vertical="center" wrapText="1"/>
    </xf>
    <xf numFmtId="0" fontId="38" fillId="4" borderId="0" xfId="0" applyFont="1" applyFill="1" applyAlignment="1">
      <alignment horizontal="right" vertical="center"/>
    </xf>
    <xf numFmtId="0" fontId="38" fillId="4" borderId="0" xfId="0" applyFont="1" applyFill="1" applyAlignment="1">
      <alignment horizontal="right" vertical="center" wrapText="1"/>
    </xf>
    <xf numFmtId="164" fontId="38" fillId="0" borderId="0" xfId="0" applyNumberFormat="1" applyFont="1" applyAlignment="1">
      <alignment vertical="center"/>
    </xf>
    <xf numFmtId="166" fontId="38" fillId="5" borderId="2" xfId="0" applyNumberFormat="1" applyFont="1" applyFill="1" applyBorder="1" applyAlignment="1">
      <alignment horizontal="center" vertical="center"/>
    </xf>
    <xf numFmtId="166" fontId="38" fillId="5" borderId="2" xfId="1" applyNumberFormat="1" applyFont="1" applyFill="1" applyBorder="1" applyAlignment="1">
      <alignment horizontal="center" vertical="center"/>
    </xf>
    <xf numFmtId="166" fontId="38" fillId="0" borderId="15" xfId="0" applyNumberFormat="1" applyFont="1" applyBorder="1" applyAlignment="1">
      <alignment horizontal="center" vertical="center"/>
    </xf>
    <xf numFmtId="166" fontId="38" fillId="0" borderId="15" xfId="1" applyNumberFormat="1" applyFont="1" applyBorder="1" applyAlignment="1">
      <alignment horizontal="center" vertical="center"/>
    </xf>
    <xf numFmtId="166" fontId="38" fillId="0" borderId="16" xfId="0" applyNumberFormat="1" applyFont="1" applyBorder="1" applyAlignment="1">
      <alignment horizontal="center" vertical="center"/>
    </xf>
    <xf numFmtId="166" fontId="38" fillId="0" borderId="17" xfId="1" applyNumberFormat="1" applyFont="1" applyBorder="1" applyAlignment="1">
      <alignment horizontal="center" vertical="center"/>
    </xf>
    <xf numFmtId="166" fontId="38" fillId="0" borderId="18" xfId="1" applyNumberFormat="1" applyFont="1" applyBorder="1" applyAlignment="1">
      <alignment horizontal="center" vertical="center"/>
    </xf>
    <xf numFmtId="166" fontId="38" fillId="5" borderId="19" xfId="0" applyNumberFormat="1" applyFont="1" applyFill="1" applyBorder="1" applyAlignment="1">
      <alignment horizontal="center" vertical="center"/>
    </xf>
    <xf numFmtId="166" fontId="38" fillId="5" borderId="20" xfId="1" applyNumberFormat="1" applyFont="1" applyFill="1" applyBorder="1" applyAlignment="1">
      <alignment horizontal="center" vertical="center"/>
    </xf>
    <xf numFmtId="166" fontId="38" fillId="0" borderId="21" xfId="0" applyNumberFormat="1" applyFont="1" applyBorder="1" applyAlignment="1">
      <alignment horizontal="center" vertical="center"/>
    </xf>
    <xf numFmtId="166" fontId="38" fillId="0" borderId="22" xfId="1" applyNumberFormat="1" applyFont="1" applyBorder="1" applyAlignment="1">
      <alignment horizontal="center" vertical="center"/>
    </xf>
    <xf numFmtId="166" fontId="38" fillId="0" borderId="23" xfId="1" applyNumberFormat="1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164" fontId="38" fillId="0" borderId="9" xfId="1" applyFont="1" applyBorder="1" applyAlignment="1">
      <alignment horizontal="center" vertical="center" wrapText="1"/>
    </xf>
    <xf numFmtId="164" fontId="38" fillId="0" borderId="10" xfId="1" applyFont="1" applyBorder="1" applyAlignment="1">
      <alignment horizontal="center" vertical="center" wrapText="1"/>
    </xf>
    <xf numFmtId="164" fontId="38" fillId="0" borderId="11" xfId="0" applyNumberFormat="1" applyFont="1" applyBorder="1" applyAlignment="1">
      <alignment horizontal="center" vertical="center"/>
    </xf>
    <xf numFmtId="164" fontId="38" fillId="0" borderId="12" xfId="1" applyFont="1" applyBorder="1" applyAlignment="1">
      <alignment horizontal="center" vertical="center"/>
    </xf>
    <xf numFmtId="164" fontId="38" fillId="0" borderId="13" xfId="1" applyFont="1" applyBorder="1" applyAlignment="1">
      <alignment horizontal="center" vertical="center"/>
    </xf>
    <xf numFmtId="0" fontId="29" fillId="5" borderId="6" xfId="0" applyFont="1" applyFill="1" applyBorder="1" applyAlignment="1">
      <alignment horizontal="center" vertical="center" wrapText="1"/>
    </xf>
    <xf numFmtId="14" fontId="29" fillId="5" borderId="7" xfId="0" applyNumberFormat="1" applyFont="1" applyFill="1" applyBorder="1" applyAlignment="1">
      <alignment horizontal="center" vertical="center" wrapText="1"/>
    </xf>
    <xf numFmtId="0" fontId="29" fillId="5" borderId="7" xfId="0" applyFont="1" applyFill="1" applyBorder="1" applyAlignment="1">
      <alignment horizontal="center" vertical="center" wrapText="1"/>
    </xf>
    <xf numFmtId="165" fontId="29" fillId="5" borderId="7" xfId="1" applyNumberFormat="1" applyFont="1" applyFill="1" applyBorder="1" applyAlignment="1">
      <alignment horizontal="center" vertical="center" wrapText="1"/>
    </xf>
    <xf numFmtId="0" fontId="28" fillId="0" borderId="0" xfId="0" applyFont="1"/>
    <xf numFmtId="164" fontId="40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right" vertical="center" wrapText="1"/>
    </xf>
    <xf numFmtId="0" fontId="39" fillId="4" borderId="0" xfId="0" applyFont="1" applyFill="1" applyAlignment="1">
      <alignment horizontal="center" vertical="center"/>
    </xf>
    <xf numFmtId="164" fontId="39" fillId="4" borderId="0" xfId="1" applyFont="1" applyFill="1" applyBorder="1" applyAlignment="1">
      <alignment horizontal="center" vertical="center"/>
    </xf>
    <xf numFmtId="0" fontId="39" fillId="4" borderId="0" xfId="0" applyFont="1" applyFill="1" applyAlignment="1">
      <alignment horizontal="right" vertical="center"/>
    </xf>
    <xf numFmtId="0" fontId="3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164" fontId="39" fillId="0" borderId="0" xfId="0" applyNumberFormat="1" applyFont="1" applyAlignment="1">
      <alignment horizontal="center" vertical="center"/>
    </xf>
    <xf numFmtId="164" fontId="41" fillId="0" borderId="0" xfId="0" applyNumberFormat="1" applyFont="1" applyAlignment="1">
      <alignment horizontal="center" vertical="center"/>
    </xf>
    <xf numFmtId="164" fontId="42" fillId="4" borderId="0" xfId="1" applyFont="1" applyFill="1" applyBorder="1" applyAlignment="1">
      <alignment horizontal="center" vertical="center"/>
    </xf>
    <xf numFmtId="0" fontId="42" fillId="4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14" fontId="29" fillId="0" borderId="0" xfId="0" applyNumberFormat="1" applyFont="1" applyAlignment="1">
      <alignment horizontal="center" vertical="center"/>
    </xf>
    <xf numFmtId="164" fontId="29" fillId="0" borderId="0" xfId="1" applyFont="1" applyAlignment="1">
      <alignment horizontal="center" vertical="center"/>
    </xf>
    <xf numFmtId="164" fontId="29" fillId="0" borderId="0" xfId="1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14" fontId="29" fillId="4" borderId="0" xfId="0" applyNumberFormat="1" applyFont="1" applyFill="1" applyAlignment="1">
      <alignment horizontal="center" vertical="center"/>
    </xf>
    <xf numFmtId="164" fontId="29" fillId="4" borderId="0" xfId="1" applyFont="1" applyFill="1" applyBorder="1" applyAlignment="1">
      <alignment horizontal="center" vertical="center"/>
    </xf>
    <xf numFmtId="0" fontId="29" fillId="4" borderId="0" xfId="0" applyFont="1" applyFill="1" applyAlignment="1">
      <alignment horizontal="right" vertical="center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164" fontId="29" fillId="0" borderId="0" xfId="0" applyNumberFormat="1" applyFont="1" applyAlignment="1">
      <alignment vertical="center"/>
    </xf>
    <xf numFmtId="166" fontId="29" fillId="5" borderId="2" xfId="0" applyNumberFormat="1" applyFont="1" applyFill="1" applyBorder="1" applyAlignment="1">
      <alignment horizontal="center" vertical="center"/>
    </xf>
    <xf numFmtId="166" fontId="29" fillId="0" borderId="2" xfId="0" applyNumberFormat="1" applyFont="1" applyBorder="1" applyAlignment="1">
      <alignment horizontal="center" vertical="center"/>
    </xf>
    <xf numFmtId="166" fontId="29" fillId="0" borderId="2" xfId="1" applyNumberFormat="1" applyFont="1" applyBorder="1" applyAlignment="1">
      <alignment horizontal="center" vertical="center"/>
    </xf>
    <xf numFmtId="166" fontId="29" fillId="0" borderId="15" xfId="0" applyNumberFormat="1" applyFont="1" applyBorder="1" applyAlignment="1">
      <alignment horizontal="center" vertical="center"/>
    </xf>
    <xf numFmtId="166" fontId="29" fillId="0" borderId="15" xfId="1" applyNumberFormat="1" applyFont="1" applyBorder="1" applyAlignment="1">
      <alignment horizontal="center" vertical="center"/>
    </xf>
    <xf numFmtId="166" fontId="29" fillId="0" borderId="16" xfId="0" applyNumberFormat="1" applyFont="1" applyBorder="1" applyAlignment="1">
      <alignment horizontal="center" vertical="center"/>
    </xf>
    <xf numFmtId="166" fontId="29" fillId="0" borderId="17" xfId="1" applyNumberFormat="1" applyFont="1" applyBorder="1" applyAlignment="1">
      <alignment horizontal="center" vertical="center"/>
    </xf>
    <xf numFmtId="166" fontId="29" fillId="0" borderId="18" xfId="1" applyNumberFormat="1" applyFont="1" applyBorder="1" applyAlignment="1">
      <alignment horizontal="center" vertical="center"/>
    </xf>
    <xf numFmtId="166" fontId="29" fillId="5" borderId="19" xfId="0" applyNumberFormat="1" applyFont="1" applyFill="1" applyBorder="1" applyAlignment="1">
      <alignment horizontal="center" vertical="center"/>
    </xf>
    <xf numFmtId="166" fontId="29" fillId="5" borderId="2" xfId="1" applyNumberFormat="1" applyFont="1" applyFill="1" applyBorder="1" applyAlignment="1">
      <alignment horizontal="center" vertical="center"/>
    </xf>
    <xf numFmtId="166" fontId="29" fillId="5" borderId="20" xfId="1" applyNumberFormat="1" applyFont="1" applyFill="1" applyBorder="1" applyAlignment="1">
      <alignment horizontal="center" vertical="center"/>
    </xf>
    <xf numFmtId="166" fontId="29" fillId="0" borderId="21" xfId="0" applyNumberFormat="1" applyFont="1" applyBorder="1" applyAlignment="1">
      <alignment horizontal="center" vertical="center"/>
    </xf>
    <xf numFmtId="166" fontId="29" fillId="0" borderId="22" xfId="1" applyNumberFormat="1" applyFont="1" applyBorder="1" applyAlignment="1">
      <alignment horizontal="center" vertical="center"/>
    </xf>
    <xf numFmtId="166" fontId="29" fillId="0" borderId="23" xfId="1" applyNumberFormat="1" applyFont="1" applyBorder="1" applyAlignment="1">
      <alignment horizontal="center" vertical="center"/>
    </xf>
    <xf numFmtId="0" fontId="42" fillId="6" borderId="0" xfId="0" applyFont="1" applyFill="1" applyAlignment="1">
      <alignment horizontal="center" vertical="center"/>
    </xf>
    <xf numFmtId="0" fontId="43" fillId="6" borderId="0" xfId="0" applyFont="1" applyFill="1" applyAlignment="1">
      <alignment horizontal="center" vertical="center"/>
    </xf>
    <xf numFmtId="14" fontId="43" fillId="6" borderId="0" xfId="0" applyNumberFormat="1" applyFont="1" applyFill="1" applyAlignment="1">
      <alignment horizontal="center" vertical="center"/>
    </xf>
    <xf numFmtId="164" fontId="43" fillId="6" borderId="0" xfId="1" applyFont="1" applyFill="1" applyBorder="1" applyAlignment="1">
      <alignment horizontal="center" vertical="center"/>
    </xf>
    <xf numFmtId="0" fontId="43" fillId="6" borderId="0" xfId="0" applyFont="1" applyFill="1" applyAlignment="1">
      <alignment horizontal="right" vertical="center"/>
    </xf>
    <xf numFmtId="0" fontId="44" fillId="6" borderId="0" xfId="0" applyFont="1" applyFill="1"/>
    <xf numFmtId="14" fontId="24" fillId="4" borderId="0" xfId="0" applyNumberFormat="1" applyFont="1" applyFill="1" applyAlignment="1">
      <alignment horizontal="center" vertical="center"/>
    </xf>
    <xf numFmtId="164" fontId="24" fillId="4" borderId="0" xfId="1" applyFont="1" applyFill="1" applyBorder="1" applyAlignment="1">
      <alignment horizontal="center" vertical="center"/>
    </xf>
    <xf numFmtId="0" fontId="45" fillId="6" borderId="0" xfId="0" applyFont="1" applyFill="1" applyAlignment="1">
      <alignment horizontal="center" vertical="center"/>
    </xf>
    <xf numFmtId="14" fontId="45" fillId="6" borderId="0" xfId="0" applyNumberFormat="1" applyFont="1" applyFill="1" applyAlignment="1">
      <alignment horizontal="center" vertical="center"/>
    </xf>
    <xf numFmtId="164" fontId="45" fillId="6" borderId="0" xfId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right" vertical="center" wrapText="1"/>
    </xf>
    <xf numFmtId="164" fontId="46" fillId="0" borderId="0" xfId="0" applyNumberFormat="1" applyFont="1" applyAlignment="1">
      <alignment horizontal="center" vertical="center"/>
    </xf>
    <xf numFmtId="166" fontId="24" fillId="5" borderId="2" xfId="0" applyNumberFormat="1" applyFont="1" applyFill="1" applyBorder="1" applyAlignment="1">
      <alignment horizontal="center" vertical="center"/>
    </xf>
    <xf numFmtId="166" fontId="24" fillId="0" borderId="15" xfId="0" applyNumberFormat="1" applyFont="1" applyBorder="1" applyAlignment="1">
      <alignment horizontal="center" vertical="center"/>
    </xf>
    <xf numFmtId="166" fontId="24" fillId="0" borderId="15" xfId="1" applyNumberFormat="1" applyFont="1" applyBorder="1" applyAlignment="1">
      <alignment horizontal="center" vertical="center"/>
    </xf>
    <xf numFmtId="166" fontId="24" fillId="0" borderId="16" xfId="0" applyNumberFormat="1" applyFont="1" applyBorder="1" applyAlignment="1">
      <alignment horizontal="center" vertical="center"/>
    </xf>
    <xf numFmtId="166" fontId="24" fillId="0" borderId="17" xfId="1" applyNumberFormat="1" applyFont="1" applyBorder="1" applyAlignment="1">
      <alignment horizontal="center" vertical="center"/>
    </xf>
    <xf numFmtId="166" fontId="24" fillId="0" borderId="18" xfId="1" applyNumberFormat="1" applyFont="1" applyBorder="1" applyAlignment="1">
      <alignment horizontal="center" vertical="center"/>
    </xf>
    <xf numFmtId="166" fontId="24" fillId="5" borderId="19" xfId="0" applyNumberFormat="1" applyFont="1" applyFill="1" applyBorder="1" applyAlignment="1">
      <alignment horizontal="center" vertical="center"/>
    </xf>
    <xf numFmtId="166" fontId="24" fillId="5" borderId="2" xfId="1" applyNumberFormat="1" applyFont="1" applyFill="1" applyBorder="1" applyAlignment="1">
      <alignment horizontal="center" vertical="center"/>
    </xf>
    <xf numFmtId="166" fontId="24" fillId="5" borderId="20" xfId="1" applyNumberFormat="1" applyFont="1" applyFill="1" applyBorder="1" applyAlignment="1">
      <alignment horizontal="center" vertical="center"/>
    </xf>
    <xf numFmtId="166" fontId="24" fillId="0" borderId="21" xfId="0" applyNumberFormat="1" applyFont="1" applyBorder="1" applyAlignment="1">
      <alignment horizontal="center" vertical="center"/>
    </xf>
    <xf numFmtId="166" fontId="24" fillId="0" borderId="22" xfId="1" applyNumberFormat="1" applyFont="1" applyBorder="1" applyAlignment="1">
      <alignment horizontal="center" vertical="center"/>
    </xf>
    <xf numFmtId="166" fontId="24" fillId="0" borderId="23" xfId="1" applyNumberFormat="1" applyFont="1" applyBorder="1" applyAlignment="1">
      <alignment horizontal="center" vertical="center"/>
    </xf>
    <xf numFmtId="0" fontId="45" fillId="6" borderId="0" xfId="0" applyFont="1" applyFill="1" applyAlignment="1">
      <alignment horizontal="right" vertical="center"/>
    </xf>
    <xf numFmtId="0" fontId="25" fillId="0" borderId="0" xfId="0" applyFont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27" fillId="5" borderId="6" xfId="0" applyFont="1" applyFill="1" applyBorder="1" applyAlignment="1">
      <alignment horizontal="center" vertical="center" wrapText="1"/>
    </xf>
    <xf numFmtId="14" fontId="27" fillId="5" borderId="7" xfId="0" applyNumberFormat="1" applyFont="1" applyFill="1" applyBorder="1" applyAlignment="1">
      <alignment horizontal="center" vertical="center" wrapText="1"/>
    </xf>
    <xf numFmtId="0" fontId="27" fillId="5" borderId="7" xfId="0" applyFont="1" applyFill="1" applyBorder="1" applyAlignment="1">
      <alignment horizontal="center" vertical="center" wrapText="1"/>
    </xf>
    <xf numFmtId="165" fontId="27" fillId="5" borderId="7" xfId="1" applyNumberFormat="1" applyFont="1" applyFill="1" applyBorder="1" applyAlignment="1">
      <alignment horizontal="center" vertical="center" wrapText="1"/>
    </xf>
    <xf numFmtId="0" fontId="24" fillId="7" borderId="0" xfId="0" applyFont="1" applyFill="1" applyAlignment="1">
      <alignment horizontal="center" vertical="center" wrapText="1"/>
    </xf>
    <xf numFmtId="0" fontId="24" fillId="7" borderId="0" xfId="0" applyFont="1" applyFill="1" applyAlignment="1">
      <alignment horizontal="center" vertical="center"/>
    </xf>
    <xf numFmtId="164" fontId="24" fillId="7" borderId="0" xfId="1" applyFont="1" applyFill="1" applyBorder="1" applyAlignment="1">
      <alignment horizontal="center" vertical="center"/>
    </xf>
    <xf numFmtId="0" fontId="38" fillId="7" borderId="0" xfId="0" applyFont="1" applyFill="1" applyAlignment="1">
      <alignment horizontal="center" vertical="center"/>
    </xf>
    <xf numFmtId="0" fontId="23" fillId="7" borderId="0" xfId="0" applyFont="1" applyFill="1"/>
    <xf numFmtId="0" fontId="38" fillId="4" borderId="0" xfId="0" applyFont="1" applyFill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7" borderId="0" xfId="0" applyFont="1" applyFill="1" applyAlignment="1">
      <alignment horizontal="center" vertical="center" wrapText="1"/>
    </xf>
    <xf numFmtId="164" fontId="38" fillId="7" borderId="0" xfId="1" applyFont="1" applyFill="1" applyBorder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0" fontId="27" fillId="7" borderId="0" xfId="0" applyFont="1" applyFill="1"/>
    <xf numFmtId="0" fontId="25" fillId="0" borderId="0" xfId="0" applyFont="1" applyAlignment="1">
      <alignment horizontal="right" vertical="center" wrapText="1"/>
    </xf>
    <xf numFmtId="0" fontId="33" fillId="4" borderId="0" xfId="0" applyFont="1" applyFill="1" applyAlignment="1">
      <alignment horizontal="center" vertical="center"/>
    </xf>
    <xf numFmtId="0" fontId="20" fillId="0" borderId="0" xfId="0" applyFont="1"/>
    <xf numFmtId="0" fontId="33" fillId="0" borderId="2" xfId="0" applyFont="1" applyBorder="1" applyAlignment="1">
      <alignment horizontal="center" vertical="center"/>
    </xf>
    <xf numFmtId="14" fontId="33" fillId="0" borderId="2" xfId="0" applyNumberFormat="1" applyFont="1" applyBorder="1" applyAlignment="1">
      <alignment horizontal="center" vertical="center"/>
    </xf>
    <xf numFmtId="164" fontId="33" fillId="0" borderId="2" xfId="1" applyFont="1" applyBorder="1" applyAlignment="1">
      <alignment horizontal="center" vertical="center"/>
    </xf>
    <xf numFmtId="164" fontId="33" fillId="0" borderId="2" xfId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right" vertical="center"/>
    </xf>
    <xf numFmtId="0" fontId="34" fillId="0" borderId="0" xfId="0" applyFont="1" applyAlignment="1">
      <alignment horizontal="right" vertical="center" wrapText="1"/>
    </xf>
    <xf numFmtId="164" fontId="47" fillId="0" borderId="0" xfId="0" applyNumberFormat="1" applyFont="1" applyAlignment="1">
      <alignment horizontal="center" vertical="center"/>
    </xf>
    <xf numFmtId="164" fontId="33" fillId="0" borderId="0" xfId="0" applyNumberFormat="1" applyFont="1" applyAlignment="1">
      <alignment vertical="center"/>
    </xf>
    <xf numFmtId="166" fontId="33" fillId="5" borderId="2" xfId="0" applyNumberFormat="1" applyFont="1" applyFill="1" applyBorder="1" applyAlignment="1">
      <alignment horizontal="center" vertical="center"/>
    </xf>
    <xf numFmtId="166" fontId="33" fillId="0" borderId="2" xfId="0" applyNumberFormat="1" applyFont="1" applyBorder="1" applyAlignment="1">
      <alignment horizontal="center" vertical="center"/>
    </xf>
    <xf numFmtId="166" fontId="33" fillId="0" borderId="2" xfId="1" applyNumberFormat="1" applyFont="1" applyBorder="1" applyAlignment="1">
      <alignment horizontal="center" vertical="center"/>
    </xf>
    <xf numFmtId="166" fontId="33" fillId="0" borderId="15" xfId="0" applyNumberFormat="1" applyFont="1" applyBorder="1" applyAlignment="1">
      <alignment horizontal="center" vertical="center"/>
    </xf>
    <xf numFmtId="166" fontId="33" fillId="0" borderId="15" xfId="1" applyNumberFormat="1" applyFont="1" applyBorder="1" applyAlignment="1">
      <alignment horizontal="center" vertical="center"/>
    </xf>
    <xf numFmtId="166" fontId="33" fillId="0" borderId="16" xfId="0" applyNumberFormat="1" applyFont="1" applyBorder="1" applyAlignment="1">
      <alignment horizontal="center" vertical="center"/>
    </xf>
    <xf numFmtId="166" fontId="33" fillId="0" borderId="17" xfId="1" applyNumberFormat="1" applyFont="1" applyBorder="1" applyAlignment="1">
      <alignment horizontal="center" vertical="center"/>
    </xf>
    <xf numFmtId="166" fontId="33" fillId="0" borderId="18" xfId="1" applyNumberFormat="1" applyFont="1" applyBorder="1" applyAlignment="1">
      <alignment horizontal="center" vertical="center"/>
    </xf>
    <xf numFmtId="166" fontId="33" fillId="5" borderId="19" xfId="0" applyNumberFormat="1" applyFont="1" applyFill="1" applyBorder="1" applyAlignment="1">
      <alignment horizontal="center" vertical="center"/>
    </xf>
    <xf numFmtId="166" fontId="33" fillId="5" borderId="2" xfId="1" applyNumberFormat="1" applyFont="1" applyFill="1" applyBorder="1" applyAlignment="1">
      <alignment horizontal="center" vertical="center"/>
    </xf>
    <xf numFmtId="166" fontId="33" fillId="5" borderId="20" xfId="1" applyNumberFormat="1" applyFont="1" applyFill="1" applyBorder="1" applyAlignment="1">
      <alignment horizontal="center" vertical="center"/>
    </xf>
    <xf numFmtId="166" fontId="33" fillId="0" borderId="21" xfId="0" applyNumberFormat="1" applyFont="1" applyBorder="1" applyAlignment="1">
      <alignment horizontal="center" vertical="center"/>
    </xf>
    <xf numFmtId="166" fontId="33" fillId="0" borderId="22" xfId="1" applyNumberFormat="1" applyFont="1" applyBorder="1" applyAlignment="1">
      <alignment horizontal="center" vertical="center"/>
    </xf>
    <xf numFmtId="166" fontId="33" fillId="0" borderId="23" xfId="1" applyNumberFormat="1" applyFont="1" applyBorder="1" applyAlignment="1">
      <alignment horizontal="center" vertical="center"/>
    </xf>
    <xf numFmtId="0" fontId="20" fillId="8" borderId="0" xfId="0" applyFont="1" applyFill="1"/>
    <xf numFmtId="0" fontId="33" fillId="4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3" fillId="5" borderId="6" xfId="0" applyFont="1" applyFill="1" applyBorder="1" applyAlignment="1">
      <alignment horizontal="center" vertical="center" wrapText="1"/>
    </xf>
    <xf numFmtId="14" fontId="23" fillId="5" borderId="7" xfId="0" applyNumberFormat="1" applyFont="1" applyFill="1" applyBorder="1" applyAlignment="1">
      <alignment horizontal="center" vertical="center" wrapText="1"/>
    </xf>
    <xf numFmtId="0" fontId="23" fillId="5" borderId="7" xfId="0" applyFont="1" applyFill="1" applyBorder="1" applyAlignment="1">
      <alignment horizontal="center" vertical="center" wrapText="1"/>
    </xf>
    <xf numFmtId="165" fontId="23" fillId="5" borderId="7" xfId="1" applyNumberFormat="1" applyFont="1" applyFill="1" applyBorder="1" applyAlignment="1">
      <alignment horizontal="center" vertical="center" wrapText="1"/>
    </xf>
    <xf numFmtId="14" fontId="24" fillId="4" borderId="2" xfId="0" applyNumberFormat="1" applyFont="1" applyFill="1" applyBorder="1" applyAlignment="1">
      <alignment horizontal="center" vertical="center"/>
    </xf>
    <xf numFmtId="164" fontId="24" fillId="4" borderId="2" xfId="1" applyFont="1" applyFill="1" applyBorder="1" applyAlignment="1">
      <alignment horizontal="center" vertical="center"/>
    </xf>
    <xf numFmtId="14" fontId="24" fillId="0" borderId="2" xfId="0" applyNumberFormat="1" applyFont="1" applyBorder="1" applyAlignment="1">
      <alignment horizontal="center" vertical="center"/>
    </xf>
    <xf numFmtId="164" fontId="24" fillId="0" borderId="2" xfId="1" applyFont="1" applyBorder="1" applyAlignment="1">
      <alignment horizontal="center" vertical="center"/>
    </xf>
    <xf numFmtId="164" fontId="24" fillId="0" borderId="2" xfId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right" vertical="center"/>
    </xf>
    <xf numFmtId="0" fontId="24" fillId="0" borderId="2" xfId="0" applyFont="1" applyBorder="1" applyAlignment="1">
      <alignment horizontal="center" vertical="center" wrapText="1"/>
    </xf>
    <xf numFmtId="0" fontId="48" fillId="5" borderId="6" xfId="0" applyFont="1" applyFill="1" applyBorder="1" applyAlignment="1">
      <alignment horizontal="center" vertical="center" wrapText="1"/>
    </xf>
    <xf numFmtId="14" fontId="48" fillId="5" borderId="7" xfId="0" applyNumberFormat="1" applyFont="1" applyFill="1" applyBorder="1" applyAlignment="1">
      <alignment horizontal="center" vertical="center" wrapText="1"/>
    </xf>
    <xf numFmtId="0" fontId="48" fillId="5" borderId="7" xfId="0" applyFont="1" applyFill="1" applyBorder="1" applyAlignment="1">
      <alignment horizontal="center" vertical="center" wrapText="1"/>
    </xf>
    <xf numFmtId="165" fontId="48" fillId="5" borderId="7" xfId="1" applyNumberFormat="1" applyFont="1" applyFill="1" applyBorder="1" applyAlignment="1">
      <alignment horizontal="center" vertical="center" wrapText="1"/>
    </xf>
    <xf numFmtId="0" fontId="48" fillId="0" borderId="0" xfId="0" applyFont="1"/>
    <xf numFmtId="164" fontId="33" fillId="6" borderId="2" xfId="1" applyFont="1" applyFill="1" applyBorder="1" applyAlignment="1">
      <alignment horizontal="center" vertical="center"/>
    </xf>
    <xf numFmtId="164" fontId="24" fillId="9" borderId="2" xfId="1" applyFont="1" applyFill="1" applyBorder="1" applyAlignment="1">
      <alignment horizontal="center" vertical="center"/>
    </xf>
    <xf numFmtId="0" fontId="24" fillId="9" borderId="2" xfId="0" applyFont="1" applyFill="1" applyBorder="1" applyAlignment="1">
      <alignment horizontal="center" vertical="center"/>
    </xf>
    <xf numFmtId="0" fontId="45" fillId="4" borderId="2" xfId="0" applyFont="1" applyFill="1" applyBorder="1" applyAlignment="1">
      <alignment horizontal="center" vertical="center"/>
    </xf>
    <xf numFmtId="164" fontId="45" fillId="0" borderId="2" xfId="1" applyFont="1" applyFill="1" applyBorder="1" applyAlignment="1">
      <alignment horizontal="center" vertical="center"/>
    </xf>
    <xf numFmtId="0" fontId="49" fillId="0" borderId="0" xfId="0" applyFont="1"/>
    <xf numFmtId="166" fontId="24" fillId="4" borderId="2" xfId="1" applyNumberFormat="1" applyFont="1" applyFill="1" applyBorder="1" applyAlignment="1">
      <alignment horizontal="center" vertical="center"/>
    </xf>
    <xf numFmtId="166" fontId="45" fillId="4" borderId="2" xfId="1" applyNumberFormat="1" applyFont="1" applyFill="1" applyBorder="1" applyAlignment="1">
      <alignment horizontal="center" vertical="center"/>
    </xf>
    <xf numFmtId="166" fontId="24" fillId="0" borderId="2" xfId="1" applyNumberFormat="1" applyFont="1" applyFill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14" fontId="24" fillId="4" borderId="24" xfId="0" applyNumberFormat="1" applyFont="1" applyFill="1" applyBorder="1" applyAlignment="1">
      <alignment horizontal="center" vertical="center"/>
    </xf>
    <xf numFmtId="166" fontId="24" fillId="0" borderId="24" xfId="1" applyNumberFormat="1" applyFont="1" applyBorder="1" applyAlignment="1">
      <alignment horizontal="center" vertical="center"/>
    </xf>
    <xf numFmtId="164" fontId="24" fillId="0" borderId="24" xfId="1" applyFont="1" applyFill="1" applyBorder="1" applyAlignment="1">
      <alignment horizontal="center" vertical="center"/>
    </xf>
    <xf numFmtId="166" fontId="42" fillId="0" borderId="24" xfId="1" applyNumberFormat="1" applyFont="1" applyBorder="1" applyAlignment="1">
      <alignment horizontal="center" vertical="center"/>
    </xf>
    <xf numFmtId="164" fontId="42" fillId="0" borderId="24" xfId="1" applyFont="1" applyFill="1" applyBorder="1" applyAlignment="1">
      <alignment horizontal="center" vertical="center"/>
    </xf>
    <xf numFmtId="0" fontId="24" fillId="10" borderId="2" xfId="0" applyFont="1" applyFill="1" applyBorder="1" applyAlignment="1">
      <alignment horizontal="center" vertical="center"/>
    </xf>
    <xf numFmtId="166" fontId="24" fillId="10" borderId="2" xfId="1" applyNumberFormat="1" applyFont="1" applyFill="1" applyBorder="1" applyAlignment="1">
      <alignment horizontal="center" vertical="center"/>
    </xf>
    <xf numFmtId="164" fontId="24" fillId="10" borderId="2" xfId="1" applyFont="1" applyFill="1" applyBorder="1" applyAlignment="1">
      <alignment horizontal="center" vertical="center"/>
    </xf>
    <xf numFmtId="0" fontId="45" fillId="10" borderId="2" xfId="0" applyFont="1" applyFill="1" applyBorder="1" applyAlignment="1">
      <alignment horizontal="center" vertical="center"/>
    </xf>
    <xf numFmtId="166" fontId="45" fillId="10" borderId="2" xfId="1" applyNumberFormat="1" applyFont="1" applyFill="1" applyBorder="1" applyAlignment="1">
      <alignment horizontal="center" vertical="center"/>
    </xf>
    <xf numFmtId="166" fontId="45" fillId="0" borderId="2" xfId="1" applyNumberFormat="1" applyFont="1" applyBorder="1" applyAlignment="1">
      <alignment horizontal="center" vertical="center"/>
    </xf>
    <xf numFmtId="14" fontId="24" fillId="0" borderId="24" xfId="0" applyNumberFormat="1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14" fontId="38" fillId="0" borderId="2" xfId="0" applyNumberFormat="1" applyFont="1" applyBorder="1" applyAlignment="1">
      <alignment horizontal="center" vertical="center"/>
    </xf>
    <xf numFmtId="166" fontId="38" fillId="0" borderId="2" xfId="1" applyNumberFormat="1" applyFont="1" applyFill="1" applyBorder="1" applyAlignment="1">
      <alignment horizontal="center" vertical="center"/>
    </xf>
    <xf numFmtId="164" fontId="38" fillId="0" borderId="2" xfId="1" applyFont="1" applyFill="1" applyBorder="1" applyAlignment="1">
      <alignment horizontal="center" vertical="center"/>
    </xf>
    <xf numFmtId="0" fontId="38" fillId="4" borderId="2" xfId="0" applyFont="1" applyFill="1" applyBorder="1" applyAlignment="1">
      <alignment horizontal="center" vertical="center"/>
    </xf>
    <xf numFmtId="166" fontId="38" fillId="4" borderId="2" xfId="1" applyNumberFormat="1" applyFont="1" applyFill="1" applyBorder="1" applyAlignment="1">
      <alignment horizontal="center" vertical="center"/>
    </xf>
    <xf numFmtId="164" fontId="38" fillId="4" borderId="2" xfId="1" applyFont="1" applyFill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4" borderId="2" xfId="0" applyFont="1" applyFill="1" applyBorder="1" applyAlignment="1">
      <alignment horizontal="center" vertical="center"/>
    </xf>
    <xf numFmtId="14" fontId="42" fillId="0" borderId="2" xfId="0" applyNumberFormat="1" applyFont="1" applyBorder="1" applyAlignment="1">
      <alignment horizontal="center" vertical="center"/>
    </xf>
    <xf numFmtId="166" fontId="42" fillId="0" borderId="2" xfId="1" applyNumberFormat="1" applyFont="1" applyFill="1" applyBorder="1" applyAlignment="1">
      <alignment horizontal="center" vertical="center"/>
    </xf>
    <xf numFmtId="164" fontId="42" fillId="0" borderId="2" xfId="1" applyFont="1" applyFill="1" applyBorder="1" applyAlignment="1">
      <alignment horizontal="center" vertical="center"/>
    </xf>
    <xf numFmtId="166" fontId="42" fillId="4" borderId="2" xfId="1" applyNumberFormat="1" applyFont="1" applyFill="1" applyBorder="1" applyAlignment="1">
      <alignment horizontal="center" vertical="center"/>
    </xf>
    <xf numFmtId="164" fontId="42" fillId="4" borderId="2" xfId="1" applyFont="1" applyFill="1" applyBorder="1" applyAlignment="1">
      <alignment horizontal="center" vertical="center"/>
    </xf>
    <xf numFmtId="166" fontId="39" fillId="0" borderId="2" xfId="1" applyNumberFormat="1" applyFont="1" applyFill="1" applyBorder="1" applyAlignment="1">
      <alignment horizontal="center" vertical="center"/>
    </xf>
    <xf numFmtId="164" fontId="39" fillId="0" borderId="2" xfId="1" applyFont="1" applyFill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166" fontId="39" fillId="4" borderId="2" xfId="1" applyNumberFormat="1" applyFont="1" applyFill="1" applyBorder="1" applyAlignment="1">
      <alignment horizontal="center" vertical="center"/>
    </xf>
    <xf numFmtId="164" fontId="39" fillId="4" borderId="2" xfId="1" applyFont="1" applyFill="1" applyBorder="1" applyAlignment="1">
      <alignment horizontal="center" vertical="center"/>
    </xf>
    <xf numFmtId="0" fontId="39" fillId="4" borderId="2" xfId="0" applyFont="1" applyFill="1" applyBorder="1" applyAlignment="1">
      <alignment horizontal="center" vertical="center"/>
    </xf>
    <xf numFmtId="0" fontId="23" fillId="0" borderId="0" xfId="0" applyFont="1" applyAlignment="1">
      <alignment horizontal="right"/>
    </xf>
    <xf numFmtId="164" fontId="25" fillId="0" borderId="0" xfId="0" applyNumberFormat="1" applyFont="1" applyAlignment="1">
      <alignment horizontal="right" vertical="center"/>
    </xf>
    <xf numFmtId="164" fontId="24" fillId="0" borderId="0" xfId="1" applyFont="1" applyAlignment="1">
      <alignment horizontal="right" vertical="center"/>
    </xf>
    <xf numFmtId="0" fontId="38" fillId="0" borderId="2" xfId="0" applyFont="1" applyBorder="1" applyAlignment="1">
      <alignment horizontal="right" vertical="center"/>
    </xf>
    <xf numFmtId="0" fontId="38" fillId="4" borderId="2" xfId="0" applyFont="1" applyFill="1" applyBorder="1" applyAlignment="1">
      <alignment horizontal="right" vertical="center"/>
    </xf>
    <xf numFmtId="0" fontId="28" fillId="5" borderId="7" xfId="0" applyFont="1" applyFill="1" applyBorder="1" applyAlignment="1">
      <alignment horizontal="center" vertical="center" wrapText="1"/>
    </xf>
    <xf numFmtId="0" fontId="27" fillId="4" borderId="0" xfId="0" applyFont="1" applyFill="1"/>
    <xf numFmtId="0" fontId="29" fillId="0" borderId="2" xfId="0" applyFont="1" applyBorder="1" applyAlignment="1">
      <alignment horizontal="center" vertical="center"/>
    </xf>
    <xf numFmtId="14" fontId="29" fillId="0" borderId="2" xfId="0" applyNumberFormat="1" applyFont="1" applyBorder="1" applyAlignment="1">
      <alignment horizontal="center" vertical="center"/>
    </xf>
    <xf numFmtId="166" fontId="29" fillId="0" borderId="2" xfId="1" applyNumberFormat="1" applyFont="1" applyFill="1" applyBorder="1" applyAlignment="1">
      <alignment horizontal="center" vertical="center"/>
    </xf>
    <xf numFmtId="164" fontId="29" fillId="0" borderId="2" xfId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right" vertical="center"/>
    </xf>
    <xf numFmtId="0" fontId="29" fillId="4" borderId="2" xfId="0" applyFont="1" applyFill="1" applyBorder="1" applyAlignment="1">
      <alignment horizontal="center" vertical="center"/>
    </xf>
    <xf numFmtId="14" fontId="29" fillId="4" borderId="2" xfId="0" applyNumberFormat="1" applyFont="1" applyFill="1" applyBorder="1" applyAlignment="1">
      <alignment horizontal="center" vertical="center"/>
    </xf>
    <xf numFmtId="166" fontId="29" fillId="4" borderId="2" xfId="1" applyNumberFormat="1" applyFont="1" applyFill="1" applyBorder="1" applyAlignment="1">
      <alignment horizontal="center" vertical="center"/>
    </xf>
    <xf numFmtId="164" fontId="29" fillId="4" borderId="2" xfId="1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right" vertical="center"/>
    </xf>
    <xf numFmtId="0" fontId="50" fillId="5" borderId="6" xfId="0" applyFont="1" applyFill="1" applyBorder="1" applyAlignment="1">
      <alignment horizontal="center" vertical="center" wrapText="1"/>
    </xf>
    <xf numFmtId="14" fontId="50" fillId="5" borderId="7" xfId="0" applyNumberFormat="1" applyFont="1" applyFill="1" applyBorder="1" applyAlignment="1">
      <alignment horizontal="center" vertical="center" wrapText="1"/>
    </xf>
    <xf numFmtId="0" fontId="50" fillId="5" borderId="7" xfId="0" applyFont="1" applyFill="1" applyBorder="1" applyAlignment="1">
      <alignment horizontal="center" vertical="center" wrapText="1"/>
    </xf>
    <xf numFmtId="165" fontId="50" fillId="5" borderId="7" xfId="1" applyNumberFormat="1" applyFont="1" applyFill="1" applyBorder="1" applyAlignment="1">
      <alignment horizontal="center" vertical="center" wrapText="1"/>
    </xf>
    <xf numFmtId="0" fontId="50" fillId="0" borderId="0" xfId="0" applyFont="1"/>
    <xf numFmtId="0" fontId="29" fillId="2" borderId="2" xfId="0" applyFont="1" applyFill="1" applyBorder="1" applyAlignment="1">
      <alignment horizontal="center" vertical="center"/>
    </xf>
    <xf numFmtId="14" fontId="29" fillId="2" borderId="2" xfId="0" applyNumberFormat="1" applyFont="1" applyFill="1" applyBorder="1" applyAlignment="1">
      <alignment horizontal="center" vertical="center"/>
    </xf>
    <xf numFmtId="166" fontId="29" fillId="2" borderId="2" xfId="1" applyNumberFormat="1" applyFont="1" applyFill="1" applyBorder="1" applyAlignment="1">
      <alignment horizontal="center" vertical="center"/>
    </xf>
    <xf numFmtId="164" fontId="29" fillId="2" borderId="2" xfId="1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right" vertical="center"/>
    </xf>
    <xf numFmtId="0" fontId="27" fillId="2" borderId="0" xfId="0" applyFont="1" applyFill="1"/>
    <xf numFmtId="0" fontId="30" fillId="0" borderId="0" xfId="0" applyFont="1" applyAlignment="1">
      <alignment horizontal="right" vertical="center" wrapText="1"/>
    </xf>
    <xf numFmtId="0" fontId="29" fillId="0" borderId="2" xfId="0" applyFont="1" applyBorder="1" applyAlignment="1">
      <alignment horizontal="right" vertical="center" wrapText="1"/>
    </xf>
    <xf numFmtId="0" fontId="29" fillId="4" borderId="2" xfId="0" applyFont="1" applyFill="1" applyBorder="1" applyAlignment="1">
      <alignment horizontal="right" vertical="center" wrapText="1"/>
    </xf>
    <xf numFmtId="0" fontId="29" fillId="0" borderId="2" xfId="0" applyFont="1" applyBorder="1" applyAlignment="1">
      <alignment horizontal="center" vertical="center" wrapText="1"/>
    </xf>
    <xf numFmtId="0" fontId="51" fillId="4" borderId="2" xfId="0" applyFont="1" applyFill="1" applyBorder="1" applyAlignment="1">
      <alignment horizontal="center" vertical="center"/>
    </xf>
    <xf numFmtId="166" fontId="51" fillId="4" borderId="2" xfId="1" applyNumberFormat="1" applyFont="1" applyFill="1" applyBorder="1" applyAlignment="1">
      <alignment horizontal="center" vertical="center"/>
    </xf>
    <xf numFmtId="0" fontId="28" fillId="4" borderId="0" xfId="0" applyFont="1" applyFill="1"/>
    <xf numFmtId="0" fontId="51" fillId="0" borderId="2" xfId="0" applyFont="1" applyBorder="1" applyAlignment="1">
      <alignment horizontal="center" vertical="center"/>
    </xf>
    <xf numFmtId="166" fontId="51" fillId="0" borderId="2" xfId="1" applyNumberFormat="1" applyFont="1" applyFill="1" applyBorder="1" applyAlignment="1">
      <alignment horizontal="center" vertical="center"/>
    </xf>
    <xf numFmtId="0" fontId="51" fillId="2" borderId="2" xfId="0" applyFont="1" applyFill="1" applyBorder="1" applyAlignment="1">
      <alignment horizontal="center" vertical="center"/>
    </xf>
    <xf numFmtId="166" fontId="51" fillId="2" borderId="2" xfId="1" applyNumberFormat="1" applyFont="1" applyFill="1" applyBorder="1" applyAlignment="1">
      <alignment horizontal="center" vertical="center"/>
    </xf>
    <xf numFmtId="0" fontId="28" fillId="2" borderId="0" xfId="0" applyFont="1" applyFill="1"/>
    <xf numFmtId="0" fontId="29" fillId="2" borderId="2" xfId="0" applyFont="1" applyFill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 wrapText="1"/>
    </xf>
    <xf numFmtId="0" fontId="29" fillId="5" borderId="2" xfId="0" applyFont="1" applyFill="1" applyBorder="1" applyAlignment="1">
      <alignment horizontal="center" vertical="center"/>
    </xf>
    <xf numFmtId="14" fontId="29" fillId="5" borderId="2" xfId="0" applyNumberFormat="1" applyFont="1" applyFill="1" applyBorder="1" applyAlignment="1">
      <alignment horizontal="center" vertical="center"/>
    </xf>
    <xf numFmtId="0" fontId="51" fillId="5" borderId="2" xfId="0" applyFont="1" applyFill="1" applyBorder="1" applyAlignment="1">
      <alignment horizontal="center" vertical="center"/>
    </xf>
    <xf numFmtId="166" fontId="51" fillId="5" borderId="2" xfId="1" applyNumberFormat="1" applyFont="1" applyFill="1" applyBorder="1" applyAlignment="1">
      <alignment horizontal="center" vertical="center"/>
    </xf>
    <xf numFmtId="164" fontId="29" fillId="5" borderId="2" xfId="1" applyFont="1" applyFill="1" applyBorder="1" applyAlignment="1">
      <alignment horizontal="center" vertical="center"/>
    </xf>
    <xf numFmtId="0" fontId="29" fillId="5" borderId="2" xfId="0" applyFont="1" applyFill="1" applyBorder="1" applyAlignment="1">
      <alignment horizontal="center" vertical="center" wrapText="1"/>
    </xf>
    <xf numFmtId="166" fontId="41" fillId="2" borderId="2" xfId="1" applyNumberFormat="1" applyFont="1" applyFill="1" applyBorder="1" applyAlignment="1">
      <alignment horizontal="center" vertical="center"/>
    </xf>
    <xf numFmtId="0" fontId="43" fillId="4" borderId="2" xfId="0" applyFont="1" applyFill="1" applyBorder="1" applyAlignment="1">
      <alignment horizontal="center" vertical="center"/>
    </xf>
    <xf numFmtId="164" fontId="29" fillId="4" borderId="2" xfId="1" applyFont="1" applyFill="1" applyBorder="1" applyAlignment="1">
      <alignment horizontal="center" vertical="center" wrapText="1"/>
    </xf>
    <xf numFmtId="0" fontId="52" fillId="0" borderId="0" xfId="0" applyFont="1"/>
    <xf numFmtId="14" fontId="52" fillId="5" borderId="7" xfId="0" applyNumberFormat="1" applyFont="1" applyFill="1" applyBorder="1" applyAlignment="1">
      <alignment horizontal="center" vertical="center" wrapText="1"/>
    </xf>
    <xf numFmtId="0" fontId="52" fillId="5" borderId="7" xfId="0" applyFont="1" applyFill="1" applyBorder="1" applyAlignment="1">
      <alignment horizontal="center" vertical="center" wrapText="1"/>
    </xf>
    <xf numFmtId="165" fontId="52" fillId="5" borderId="7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4" fontId="12" fillId="0" borderId="0" xfId="1" applyFont="1" applyAlignment="1">
      <alignment horizontal="center" vertical="center"/>
    </xf>
    <xf numFmtId="0" fontId="52" fillId="4" borderId="0" xfId="0" applyFont="1" applyFill="1"/>
    <xf numFmtId="0" fontId="52" fillId="2" borderId="0" xfId="0" applyFont="1" applyFill="1"/>
    <xf numFmtId="0" fontId="12" fillId="0" borderId="24" xfId="0" applyFont="1" applyBorder="1" applyAlignment="1">
      <alignment horizontal="center" vertical="center"/>
    </xf>
    <xf numFmtId="14" fontId="12" fillId="0" borderId="24" xfId="0" applyNumberFormat="1" applyFont="1" applyBorder="1" applyAlignment="1">
      <alignment horizontal="center" vertical="center"/>
    </xf>
    <xf numFmtId="166" fontId="53" fillId="0" borderId="24" xfId="1" applyNumberFormat="1" applyFont="1" applyBorder="1" applyAlignment="1">
      <alignment horizontal="center" vertical="center"/>
    </xf>
    <xf numFmtId="166" fontId="12" fillId="0" borderId="24" xfId="1" applyNumberFormat="1" applyFont="1" applyBorder="1" applyAlignment="1">
      <alignment horizontal="center" vertical="center"/>
    </xf>
    <xf numFmtId="164" fontId="12" fillId="0" borderId="24" xfId="1" applyFont="1" applyFill="1" applyBorder="1" applyAlignment="1">
      <alignment horizontal="center" vertical="center"/>
    </xf>
    <xf numFmtId="164" fontId="53" fillId="0" borderId="24" xfId="1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164" fontId="12" fillId="0" borderId="0" xfId="0" applyNumberFormat="1" applyFont="1" applyAlignment="1">
      <alignment vertical="center"/>
    </xf>
    <xf numFmtId="166" fontId="12" fillId="5" borderId="2" xfId="0" applyNumberFormat="1" applyFont="1" applyFill="1" applyBorder="1" applyAlignment="1">
      <alignment horizontal="center" vertical="center"/>
    </xf>
    <xf numFmtId="166" fontId="12" fillId="0" borderId="2" xfId="0" applyNumberFormat="1" applyFont="1" applyBorder="1" applyAlignment="1">
      <alignment horizontal="center" vertical="center"/>
    </xf>
    <xf numFmtId="166" fontId="12" fillId="0" borderId="2" xfId="1" applyNumberFormat="1" applyFont="1" applyBorder="1" applyAlignment="1">
      <alignment horizontal="center" vertical="center"/>
    </xf>
    <xf numFmtId="166" fontId="12" fillId="0" borderId="18" xfId="1" applyNumberFormat="1" applyFont="1" applyBorder="1" applyAlignment="1">
      <alignment horizontal="center" vertical="center"/>
    </xf>
    <xf numFmtId="166" fontId="12" fillId="5" borderId="20" xfId="1" applyNumberFormat="1" applyFont="1" applyFill="1" applyBorder="1" applyAlignment="1">
      <alignment horizontal="center" vertical="center"/>
    </xf>
    <xf numFmtId="166" fontId="12" fillId="0" borderId="23" xfId="1" applyNumberFormat="1" applyFont="1" applyBorder="1" applyAlignment="1">
      <alignment horizontal="center" vertical="center"/>
    </xf>
    <xf numFmtId="0" fontId="55" fillId="0" borderId="0" xfId="0" applyFont="1"/>
    <xf numFmtId="0" fontId="54" fillId="0" borderId="0" xfId="0" applyFont="1" applyAlignment="1">
      <alignment horizontal="center" vertical="center"/>
    </xf>
    <xf numFmtId="164" fontId="54" fillId="0" borderId="0" xfId="1" applyFont="1" applyAlignment="1">
      <alignment horizontal="center" vertical="center"/>
    </xf>
    <xf numFmtId="0" fontId="54" fillId="0" borderId="8" xfId="0" applyFont="1" applyBorder="1" applyAlignment="1">
      <alignment horizontal="center" vertical="center" wrapText="1"/>
    </xf>
    <xf numFmtId="0" fontId="54" fillId="0" borderId="9" xfId="0" applyFont="1" applyBorder="1" applyAlignment="1">
      <alignment horizontal="center" vertical="center" wrapText="1"/>
    </xf>
    <xf numFmtId="164" fontId="54" fillId="0" borderId="9" xfId="1" applyFont="1" applyBorder="1" applyAlignment="1">
      <alignment horizontal="center" vertical="center" wrapText="1"/>
    </xf>
    <xf numFmtId="164" fontId="54" fillId="0" borderId="10" xfId="1" applyFont="1" applyBorder="1" applyAlignment="1">
      <alignment horizontal="center" vertical="center" wrapText="1"/>
    </xf>
    <xf numFmtId="0" fontId="54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164" fontId="54" fillId="0" borderId="11" xfId="0" applyNumberFormat="1" applyFont="1" applyBorder="1" applyAlignment="1">
      <alignment horizontal="center" vertical="center"/>
    </xf>
    <xf numFmtId="164" fontId="54" fillId="0" borderId="12" xfId="1" applyFont="1" applyBorder="1" applyAlignment="1">
      <alignment horizontal="center" vertical="center"/>
    </xf>
    <xf numFmtId="164" fontId="54" fillId="0" borderId="13" xfId="1" applyFont="1" applyBorder="1" applyAlignment="1">
      <alignment horizontal="center" vertical="center"/>
    </xf>
    <xf numFmtId="0" fontId="54" fillId="0" borderId="0" xfId="0" applyFont="1" applyAlignment="1">
      <alignment horizontal="right" vertical="center"/>
    </xf>
    <xf numFmtId="164" fontId="10" fillId="0" borderId="0" xfId="0" applyNumberFormat="1" applyFont="1" applyAlignment="1">
      <alignment horizontal="center" vertical="center"/>
    </xf>
    <xf numFmtId="164" fontId="56" fillId="0" borderId="0" xfId="0" applyNumberFormat="1" applyFont="1" applyAlignment="1">
      <alignment horizontal="center" vertical="center"/>
    </xf>
    <xf numFmtId="0" fontId="57" fillId="0" borderId="0" xfId="0" applyFont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57" fillId="0" borderId="0" xfId="0" applyFont="1" applyAlignment="1">
      <alignment horizontal="center" vertical="center"/>
    </xf>
    <xf numFmtId="0" fontId="57" fillId="0" borderId="24" xfId="0" applyFont="1" applyBorder="1" applyAlignment="1">
      <alignment horizontal="center" vertical="center"/>
    </xf>
    <xf numFmtId="0" fontId="52" fillId="4" borderId="0" xfId="0" applyFont="1" applyFill="1" applyAlignment="1">
      <alignment horizontal="center" vertical="center"/>
    </xf>
    <xf numFmtId="0" fontId="52" fillId="0" borderId="0" xfId="0" applyFont="1" applyAlignment="1">
      <alignment horizontal="center" vertical="center"/>
    </xf>
    <xf numFmtId="14" fontId="52" fillId="0" borderId="0" xfId="0" applyNumberFormat="1" applyFont="1" applyAlignment="1">
      <alignment horizontal="center" vertical="center"/>
    </xf>
    <xf numFmtId="164" fontId="52" fillId="0" borderId="0" xfId="1" applyFont="1" applyAlignment="1">
      <alignment horizontal="center" vertical="center"/>
    </xf>
    <xf numFmtId="164" fontId="52" fillId="0" borderId="0" xfId="1" applyFont="1" applyFill="1" applyAlignment="1">
      <alignment horizontal="center" vertical="center"/>
    </xf>
    <xf numFmtId="14" fontId="52" fillId="4" borderId="2" xfId="0" applyNumberFormat="1" applyFont="1" applyFill="1" applyBorder="1" applyAlignment="1">
      <alignment horizontal="center" vertical="center"/>
    </xf>
    <xf numFmtId="0" fontId="52" fillId="4" borderId="2" xfId="0" applyFont="1" applyFill="1" applyBorder="1" applyAlignment="1">
      <alignment horizontal="center" vertical="center"/>
    </xf>
    <xf numFmtId="0" fontId="58" fillId="4" borderId="2" xfId="0" applyFont="1" applyFill="1" applyBorder="1" applyAlignment="1">
      <alignment horizontal="center" vertical="center"/>
    </xf>
    <xf numFmtId="166" fontId="58" fillId="4" borderId="2" xfId="1" applyNumberFormat="1" applyFont="1" applyFill="1" applyBorder="1" applyAlignment="1">
      <alignment horizontal="center" vertical="center"/>
    </xf>
    <xf numFmtId="166" fontId="52" fillId="4" borderId="2" xfId="1" applyNumberFormat="1" applyFont="1" applyFill="1" applyBorder="1" applyAlignment="1">
      <alignment horizontal="center" vertical="center"/>
    </xf>
    <xf numFmtId="164" fontId="52" fillId="4" borderId="2" xfId="1" applyFont="1" applyFill="1" applyBorder="1" applyAlignment="1">
      <alignment horizontal="center" vertical="center"/>
    </xf>
    <xf numFmtId="0" fontId="52" fillId="4" borderId="2" xfId="0" applyFont="1" applyFill="1" applyBorder="1" applyAlignment="1">
      <alignment horizontal="center" vertical="center" wrapText="1"/>
    </xf>
    <xf numFmtId="0" fontId="52" fillId="0" borderId="2" xfId="0" applyFont="1" applyBorder="1" applyAlignment="1">
      <alignment horizontal="center" vertical="center"/>
    </xf>
    <xf numFmtId="14" fontId="52" fillId="0" borderId="2" xfId="0" applyNumberFormat="1" applyFont="1" applyBorder="1" applyAlignment="1">
      <alignment horizontal="center" vertical="center"/>
    </xf>
    <xf numFmtId="0" fontId="58" fillId="0" borderId="2" xfId="0" applyFont="1" applyBorder="1" applyAlignment="1">
      <alignment horizontal="center" vertical="center"/>
    </xf>
    <xf numFmtId="166" fontId="58" fillId="0" borderId="2" xfId="1" applyNumberFormat="1" applyFont="1" applyFill="1" applyBorder="1" applyAlignment="1">
      <alignment horizontal="center" vertical="center"/>
    </xf>
    <xf numFmtId="166" fontId="52" fillId="0" borderId="2" xfId="1" applyNumberFormat="1" applyFont="1" applyFill="1" applyBorder="1" applyAlignment="1">
      <alignment horizontal="center" vertical="center"/>
    </xf>
    <xf numFmtId="164" fontId="52" fillId="0" borderId="2" xfId="1" applyFont="1" applyFill="1" applyBorder="1" applyAlignment="1">
      <alignment horizontal="center" vertical="center"/>
    </xf>
    <xf numFmtId="0" fontId="52" fillId="0" borderId="2" xfId="0" applyFont="1" applyBorder="1" applyAlignment="1">
      <alignment horizontal="center" vertical="center" wrapText="1"/>
    </xf>
    <xf numFmtId="0" fontId="52" fillId="2" borderId="2" xfId="0" applyFont="1" applyFill="1" applyBorder="1" applyAlignment="1">
      <alignment horizontal="center" vertical="center"/>
    </xf>
    <xf numFmtId="0" fontId="58" fillId="2" borderId="2" xfId="0" applyFont="1" applyFill="1" applyBorder="1" applyAlignment="1">
      <alignment horizontal="center" vertical="center"/>
    </xf>
    <xf numFmtId="166" fontId="58" fillId="2" borderId="2" xfId="1" applyNumberFormat="1" applyFont="1" applyFill="1" applyBorder="1" applyAlignment="1">
      <alignment horizontal="center" vertical="center"/>
    </xf>
    <xf numFmtId="166" fontId="52" fillId="2" borderId="2" xfId="1" applyNumberFormat="1" applyFont="1" applyFill="1" applyBorder="1" applyAlignment="1">
      <alignment horizontal="center" vertical="center"/>
    </xf>
    <xf numFmtId="164" fontId="52" fillId="2" borderId="2" xfId="1" applyFont="1" applyFill="1" applyBorder="1" applyAlignment="1">
      <alignment horizontal="center" vertical="center"/>
    </xf>
    <xf numFmtId="0" fontId="5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4" fontId="52" fillId="2" borderId="2" xfId="0" applyNumberFormat="1" applyFont="1" applyFill="1" applyBorder="1" applyAlignment="1">
      <alignment horizontal="center" vertical="center"/>
    </xf>
    <xf numFmtId="0" fontId="59" fillId="0" borderId="2" xfId="0" applyFont="1" applyBorder="1" applyAlignment="1">
      <alignment horizontal="center" vertical="center"/>
    </xf>
    <xf numFmtId="0" fontId="60" fillId="0" borderId="2" xfId="0" applyFont="1" applyBorder="1" applyAlignment="1">
      <alignment horizontal="center" vertical="center"/>
    </xf>
    <xf numFmtId="166" fontId="60" fillId="0" borderId="2" xfId="1" applyNumberFormat="1" applyFont="1" applyFill="1" applyBorder="1" applyAlignment="1">
      <alignment horizontal="center" vertical="center"/>
    </xf>
    <xf numFmtId="164" fontId="60" fillId="0" borderId="2" xfId="1" applyFont="1" applyFill="1" applyBorder="1" applyAlignment="1">
      <alignment horizontal="center" vertical="center"/>
    </xf>
    <xf numFmtId="0" fontId="60" fillId="0" borderId="2" xfId="0" applyFont="1" applyBorder="1" applyAlignment="1">
      <alignment horizontal="center" vertical="center" wrapText="1"/>
    </xf>
    <xf numFmtId="0" fontId="60" fillId="0" borderId="0" xfId="0" applyFont="1"/>
    <xf numFmtId="164" fontId="61" fillId="0" borderId="12" xfId="1" applyFont="1" applyBorder="1" applyAlignment="1">
      <alignment horizontal="center" vertical="center"/>
    </xf>
    <xf numFmtId="164" fontId="57" fillId="0" borderId="13" xfId="1" applyFont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164" fontId="61" fillId="0" borderId="11" xfId="0" applyNumberFormat="1" applyFont="1" applyBorder="1" applyAlignment="1">
      <alignment horizontal="center" vertical="center"/>
    </xf>
    <xf numFmtId="0" fontId="61" fillId="0" borderId="0" xfId="0" applyFont="1" applyAlignment="1">
      <alignment horizontal="right" vertical="center"/>
    </xf>
    <xf numFmtId="164" fontId="62" fillId="0" borderId="0" xfId="0" applyNumberFormat="1" applyFont="1" applyAlignment="1">
      <alignment horizontal="center" vertical="center"/>
    </xf>
    <xf numFmtId="0" fontId="63" fillId="0" borderId="0" xfId="0" applyFont="1"/>
    <xf numFmtId="165" fontId="55" fillId="5" borderId="7" xfId="1" applyNumberFormat="1" applyFont="1" applyFill="1" applyBorder="1" applyAlignment="1">
      <alignment horizontal="center" vertical="center" wrapText="1"/>
    </xf>
    <xf numFmtId="164" fontId="55" fillId="0" borderId="0" xfId="1" applyFont="1" applyFill="1" applyAlignment="1">
      <alignment horizontal="center" vertical="center"/>
    </xf>
    <xf numFmtId="164" fontId="55" fillId="4" borderId="2" xfId="1" applyFont="1" applyFill="1" applyBorder="1" applyAlignment="1">
      <alignment horizontal="center" vertical="center"/>
    </xf>
    <xf numFmtId="164" fontId="55" fillId="0" borderId="2" xfId="1" applyFont="1" applyFill="1" applyBorder="1" applyAlignment="1">
      <alignment horizontal="center" vertical="center"/>
    </xf>
    <xf numFmtId="164" fontId="64" fillId="0" borderId="2" xfId="1" applyFont="1" applyFill="1" applyBorder="1" applyAlignment="1">
      <alignment horizontal="center" vertical="center"/>
    </xf>
    <xf numFmtId="164" fontId="54" fillId="0" borderId="24" xfId="1" applyFont="1" applyFill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166" fontId="24" fillId="0" borderId="2" xfId="0" applyNumberFormat="1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166" fontId="38" fillId="5" borderId="2" xfId="0" applyNumberFormat="1" applyFont="1" applyFill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166" fontId="29" fillId="5" borderId="2" xfId="0" applyNumberFormat="1" applyFont="1" applyFill="1" applyBorder="1" applyAlignment="1">
      <alignment horizontal="center" vertical="center"/>
    </xf>
    <xf numFmtId="166" fontId="24" fillId="5" borderId="2" xfId="0" applyNumberFormat="1" applyFont="1" applyFill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166" fontId="33" fillId="5" borderId="2" xfId="0" applyNumberFormat="1" applyFont="1" applyFill="1" applyBorder="1" applyAlignment="1">
      <alignment horizontal="center" vertical="center"/>
    </xf>
    <xf numFmtId="0" fontId="33" fillId="8" borderId="24" xfId="0" applyFont="1" applyFill="1" applyBorder="1" applyAlignment="1">
      <alignment horizontal="center" vertical="center"/>
    </xf>
    <xf numFmtId="166" fontId="29" fillId="0" borderId="25" xfId="1" applyNumberFormat="1" applyFont="1" applyBorder="1" applyAlignment="1">
      <alignment horizontal="center" vertical="center"/>
    </xf>
    <xf numFmtId="166" fontId="29" fillId="0" borderId="26" xfId="1" applyNumberFormat="1" applyFont="1" applyBorder="1" applyAlignment="1">
      <alignment horizontal="center" vertical="center"/>
    </xf>
    <xf numFmtId="166" fontId="29" fillId="5" borderId="27" xfId="1" applyNumberFormat="1" applyFont="1" applyFill="1" applyBorder="1" applyAlignment="1">
      <alignment horizontal="center" vertical="center"/>
    </xf>
    <xf numFmtId="166" fontId="29" fillId="5" borderId="28" xfId="1" applyNumberFormat="1" applyFont="1" applyFill="1" applyBorder="1" applyAlignment="1">
      <alignment horizontal="center" vertical="center"/>
    </xf>
    <xf numFmtId="166" fontId="29" fillId="0" borderId="29" xfId="1" applyNumberFormat="1" applyFont="1" applyBorder="1" applyAlignment="1">
      <alignment horizontal="center" vertical="center"/>
    </xf>
    <xf numFmtId="166" fontId="29" fillId="0" borderId="30" xfId="1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66" fontId="12" fillId="5" borderId="2" xfId="0" applyNumberFormat="1" applyFont="1" applyFill="1" applyBorder="1" applyAlignment="1">
      <alignment horizontal="center" vertical="center"/>
    </xf>
    <xf numFmtId="166" fontId="12" fillId="0" borderId="25" xfId="1" applyNumberFormat="1" applyFont="1" applyBorder="1" applyAlignment="1">
      <alignment horizontal="center" vertical="center"/>
    </xf>
    <xf numFmtId="166" fontId="12" fillId="0" borderId="26" xfId="1" applyNumberFormat="1" applyFont="1" applyBorder="1" applyAlignment="1">
      <alignment horizontal="center" vertical="center"/>
    </xf>
    <xf numFmtId="166" fontId="12" fillId="5" borderId="27" xfId="1" applyNumberFormat="1" applyFont="1" applyFill="1" applyBorder="1" applyAlignment="1">
      <alignment horizontal="center" vertical="center"/>
    </xf>
    <xf numFmtId="166" fontId="12" fillId="5" borderId="28" xfId="1" applyNumberFormat="1" applyFont="1" applyFill="1" applyBorder="1" applyAlignment="1">
      <alignment horizontal="center" vertical="center"/>
    </xf>
    <xf numFmtId="166" fontId="12" fillId="0" borderId="29" xfId="1" applyNumberFormat="1" applyFont="1" applyBorder="1" applyAlignment="1">
      <alignment horizontal="center" vertical="center"/>
    </xf>
    <xf numFmtId="166" fontId="12" fillId="0" borderId="30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2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rightToLeft="1" topLeftCell="C1" zoomScale="70" zoomScaleNormal="70" workbookViewId="0">
      <selection activeCell="H6" sqref="H6"/>
    </sheetView>
  </sheetViews>
  <sheetFormatPr defaultRowHeight="15" x14ac:dyDescent="0.25"/>
  <cols>
    <col min="1" max="1" width="14.42578125" customWidth="1"/>
    <col min="2" max="2" width="21.140625" customWidth="1"/>
    <col min="3" max="3" width="19.42578125" customWidth="1"/>
    <col min="4" max="4" width="18.140625" bestFit="1" customWidth="1"/>
    <col min="5" max="5" width="28.28515625" customWidth="1"/>
    <col min="6" max="6" width="22.5703125" bestFit="1" customWidth="1"/>
    <col min="7" max="7" width="22.7109375" bestFit="1" customWidth="1"/>
    <col min="8" max="8" width="31.42578125" customWidth="1"/>
    <col min="9" max="9" width="57.7109375" customWidth="1"/>
    <col min="10" max="10" width="22.42578125" customWidth="1"/>
  </cols>
  <sheetData>
    <row r="1" spans="1:10" s="1" customFormat="1" ht="60.75" customHeight="1" thickBot="1" x14ac:dyDescent="0.3">
      <c r="A1" s="13" t="s">
        <v>0</v>
      </c>
      <c r="B1" s="14" t="s">
        <v>1</v>
      </c>
      <c r="C1" s="15" t="s">
        <v>86</v>
      </c>
      <c r="D1" s="15" t="s">
        <v>87</v>
      </c>
      <c r="E1" s="16" t="s">
        <v>2</v>
      </c>
      <c r="F1" s="16" t="s">
        <v>3</v>
      </c>
      <c r="G1" s="16" t="s">
        <v>4</v>
      </c>
      <c r="H1" s="17" t="s">
        <v>5</v>
      </c>
      <c r="I1" s="15" t="s">
        <v>6</v>
      </c>
      <c r="J1" s="18" t="s">
        <v>7</v>
      </c>
    </row>
    <row r="2" spans="1:10" s="10" customFormat="1" ht="26.25" x14ac:dyDescent="0.35">
      <c r="A2" s="2" t="s">
        <v>8</v>
      </c>
      <c r="B2" s="3">
        <v>45203</v>
      </c>
      <c r="C2" s="4"/>
      <c r="D2" s="9">
        <v>1113</v>
      </c>
      <c r="E2" s="19">
        <v>21416</v>
      </c>
      <c r="F2" s="5"/>
      <c r="G2" s="6">
        <f>+E2</f>
        <v>21416</v>
      </c>
      <c r="H2" s="20" t="s">
        <v>9</v>
      </c>
      <c r="I2" s="21" t="s">
        <v>10</v>
      </c>
      <c r="J2" s="9" t="s">
        <v>11</v>
      </c>
    </row>
    <row r="3" spans="1:10" s="10" customFormat="1" ht="26.25" x14ac:dyDescent="0.35">
      <c r="A3" s="2" t="s">
        <v>8</v>
      </c>
      <c r="B3" s="3">
        <v>45203</v>
      </c>
      <c r="C3" s="4"/>
      <c r="D3" s="9">
        <v>1114</v>
      </c>
      <c r="E3" s="19">
        <v>105000</v>
      </c>
      <c r="F3" s="5"/>
      <c r="G3" s="6">
        <f>+G2+E3-F3</f>
        <v>126416</v>
      </c>
      <c r="H3" s="20" t="s">
        <v>12</v>
      </c>
      <c r="I3" s="21" t="s">
        <v>13</v>
      </c>
      <c r="J3" s="9" t="s">
        <v>11</v>
      </c>
    </row>
    <row r="4" spans="1:10" s="10" customFormat="1" ht="26.25" x14ac:dyDescent="0.35">
      <c r="A4" s="2" t="s">
        <v>8</v>
      </c>
      <c r="B4" s="3">
        <v>45203</v>
      </c>
      <c r="C4" s="4"/>
      <c r="D4" s="9">
        <v>1115</v>
      </c>
      <c r="E4" s="19">
        <v>60000</v>
      </c>
      <c r="F4" s="5"/>
      <c r="G4" s="6">
        <f t="shared" ref="G4:G40" si="0">+G3+E4-F4</f>
        <v>186416</v>
      </c>
      <c r="H4" s="20" t="s">
        <v>14</v>
      </c>
      <c r="I4" s="21" t="s">
        <v>15</v>
      </c>
      <c r="J4" s="9" t="s">
        <v>16</v>
      </c>
    </row>
    <row r="5" spans="1:10" s="10" customFormat="1" ht="26.25" x14ac:dyDescent="0.35">
      <c r="A5" s="2" t="s">
        <v>8</v>
      </c>
      <c r="B5" s="3">
        <v>45203</v>
      </c>
      <c r="C5" s="4"/>
      <c r="D5" s="9">
        <v>1116</v>
      </c>
      <c r="E5" s="19">
        <v>40000</v>
      </c>
      <c r="F5" s="5"/>
      <c r="G5" s="6">
        <f t="shared" si="0"/>
        <v>226416</v>
      </c>
      <c r="H5" s="20" t="s">
        <v>17</v>
      </c>
      <c r="I5" s="21" t="s">
        <v>18</v>
      </c>
      <c r="J5" s="9" t="s">
        <v>19</v>
      </c>
    </row>
    <row r="6" spans="1:10" s="10" customFormat="1" ht="26.25" x14ac:dyDescent="0.35">
      <c r="A6" s="2" t="s">
        <v>8</v>
      </c>
      <c r="B6" s="3">
        <v>45203</v>
      </c>
      <c r="C6" s="4"/>
      <c r="D6" s="9">
        <v>1117</v>
      </c>
      <c r="E6" s="19">
        <v>100000</v>
      </c>
      <c r="F6" s="5"/>
      <c r="G6" s="6">
        <f t="shared" si="0"/>
        <v>326416</v>
      </c>
      <c r="H6" s="20" t="s">
        <v>20</v>
      </c>
      <c r="I6" s="21" t="s">
        <v>21</v>
      </c>
      <c r="J6" s="9" t="s">
        <v>22</v>
      </c>
    </row>
    <row r="7" spans="1:10" s="10" customFormat="1" ht="26.25" x14ac:dyDescent="0.35">
      <c r="A7" s="2" t="s">
        <v>8</v>
      </c>
      <c r="B7" s="3">
        <v>45203</v>
      </c>
      <c r="C7" s="4"/>
      <c r="D7" s="9">
        <v>1118</v>
      </c>
      <c r="E7" s="19">
        <v>8000</v>
      </c>
      <c r="F7" s="5"/>
      <c r="G7" s="6">
        <f t="shared" si="0"/>
        <v>334416</v>
      </c>
      <c r="H7" s="20" t="s">
        <v>23</v>
      </c>
      <c r="I7" s="21" t="s">
        <v>24</v>
      </c>
      <c r="J7" s="9" t="s">
        <v>25</v>
      </c>
    </row>
    <row r="8" spans="1:10" s="10" customFormat="1" ht="26.25" x14ac:dyDescent="0.35">
      <c r="A8" s="2" t="s">
        <v>8</v>
      </c>
      <c r="B8" s="3">
        <v>45203</v>
      </c>
      <c r="C8" s="4"/>
      <c r="D8" s="9">
        <v>1119</v>
      </c>
      <c r="E8" s="19">
        <v>60000</v>
      </c>
      <c r="F8" s="5"/>
      <c r="G8" s="6">
        <f t="shared" si="0"/>
        <v>394416</v>
      </c>
      <c r="H8" s="20" t="s">
        <v>26</v>
      </c>
      <c r="I8" s="21" t="s">
        <v>27</v>
      </c>
      <c r="J8" s="9" t="s">
        <v>28</v>
      </c>
    </row>
    <row r="9" spans="1:10" s="10" customFormat="1" ht="26.25" x14ac:dyDescent="0.35">
      <c r="A9" s="2" t="s">
        <v>8</v>
      </c>
      <c r="B9" s="3">
        <v>45203</v>
      </c>
      <c r="C9" s="4"/>
      <c r="D9" s="9">
        <v>1120</v>
      </c>
      <c r="E9" s="19">
        <v>70000</v>
      </c>
      <c r="F9" s="5"/>
      <c r="G9" s="6">
        <f t="shared" si="0"/>
        <v>464416</v>
      </c>
      <c r="H9" s="20" t="s">
        <v>29</v>
      </c>
      <c r="I9" s="21" t="s">
        <v>30</v>
      </c>
      <c r="J9" s="9" t="s">
        <v>31</v>
      </c>
    </row>
    <row r="10" spans="1:10" s="10" customFormat="1" ht="26.25" x14ac:dyDescent="0.35">
      <c r="A10" s="2" t="s">
        <v>8</v>
      </c>
      <c r="B10" s="3">
        <v>45203</v>
      </c>
      <c r="C10" s="4"/>
      <c r="D10" s="9">
        <v>1121</v>
      </c>
      <c r="E10" s="19">
        <v>125000</v>
      </c>
      <c r="F10" s="5"/>
      <c r="G10" s="6">
        <f t="shared" si="0"/>
        <v>589416</v>
      </c>
      <c r="H10" s="20" t="s">
        <v>32</v>
      </c>
      <c r="I10" s="21" t="s">
        <v>33</v>
      </c>
      <c r="J10" s="9" t="s">
        <v>19</v>
      </c>
    </row>
    <row r="11" spans="1:10" s="10" customFormat="1" ht="26.25" x14ac:dyDescent="0.35">
      <c r="A11" s="2" t="s">
        <v>8</v>
      </c>
      <c r="B11" s="3">
        <v>45203</v>
      </c>
      <c r="C11" s="4"/>
      <c r="D11" s="9">
        <v>1122</v>
      </c>
      <c r="E11" s="19">
        <v>200000</v>
      </c>
      <c r="F11" s="5"/>
      <c r="G11" s="6">
        <f t="shared" si="0"/>
        <v>789416</v>
      </c>
      <c r="H11" s="20" t="s">
        <v>34</v>
      </c>
      <c r="I11" s="21" t="s">
        <v>35</v>
      </c>
      <c r="J11" s="9" t="s">
        <v>31</v>
      </c>
    </row>
    <row r="12" spans="1:10" s="10" customFormat="1" ht="26.25" x14ac:dyDescent="0.35">
      <c r="A12" s="2" t="s">
        <v>8</v>
      </c>
      <c r="B12" s="3">
        <v>45204</v>
      </c>
      <c r="C12" s="4"/>
      <c r="D12" s="9">
        <v>1123</v>
      </c>
      <c r="E12" s="19">
        <v>100000</v>
      </c>
      <c r="F12" s="5"/>
      <c r="G12" s="6">
        <f t="shared" si="0"/>
        <v>889416</v>
      </c>
      <c r="H12" s="20" t="s">
        <v>36</v>
      </c>
      <c r="I12" s="21" t="s">
        <v>37</v>
      </c>
      <c r="J12" s="9" t="s">
        <v>22</v>
      </c>
    </row>
    <row r="13" spans="1:10" s="10" customFormat="1" ht="26.25" x14ac:dyDescent="0.35">
      <c r="A13" s="2" t="s">
        <v>8</v>
      </c>
      <c r="B13" s="3">
        <v>45204</v>
      </c>
      <c r="C13" s="4"/>
      <c r="D13" s="9">
        <v>1124</v>
      </c>
      <c r="E13" s="22">
        <v>85000</v>
      </c>
      <c r="F13" s="5"/>
      <c r="G13" s="6">
        <f t="shared" si="0"/>
        <v>974416</v>
      </c>
      <c r="H13" s="20" t="s">
        <v>38</v>
      </c>
      <c r="I13" s="21" t="s">
        <v>39</v>
      </c>
      <c r="J13" s="9" t="s">
        <v>16</v>
      </c>
    </row>
    <row r="14" spans="1:10" s="10" customFormat="1" ht="26.25" x14ac:dyDescent="0.35">
      <c r="A14" s="2" t="s">
        <v>8</v>
      </c>
      <c r="B14" s="3">
        <v>45204</v>
      </c>
      <c r="C14" s="4"/>
      <c r="D14" s="9">
        <v>1125</v>
      </c>
      <c r="E14" s="22">
        <v>100000</v>
      </c>
      <c r="F14" s="5"/>
      <c r="G14" s="6">
        <f t="shared" si="0"/>
        <v>1074416</v>
      </c>
      <c r="H14" s="20" t="s">
        <v>40</v>
      </c>
      <c r="I14" s="21" t="s">
        <v>41</v>
      </c>
      <c r="J14" s="9" t="s">
        <v>16</v>
      </c>
    </row>
    <row r="15" spans="1:10" s="10" customFormat="1" ht="26.25" x14ac:dyDescent="0.35">
      <c r="A15" s="2" t="s">
        <v>8</v>
      </c>
      <c r="B15" s="3">
        <v>45204</v>
      </c>
      <c r="C15" s="4"/>
      <c r="D15" s="9">
        <v>1126</v>
      </c>
      <c r="E15" s="19">
        <v>76750</v>
      </c>
      <c r="F15" s="5"/>
      <c r="G15" s="6">
        <f t="shared" si="0"/>
        <v>1151166</v>
      </c>
      <c r="H15" s="20" t="s">
        <v>42</v>
      </c>
      <c r="I15" s="21" t="s">
        <v>43</v>
      </c>
      <c r="J15" s="9" t="s">
        <v>44</v>
      </c>
    </row>
    <row r="16" spans="1:10" s="10" customFormat="1" ht="26.25" x14ac:dyDescent="0.35">
      <c r="A16" s="2" t="s">
        <v>8</v>
      </c>
      <c r="B16" s="3">
        <v>45204</v>
      </c>
      <c r="C16" s="4"/>
      <c r="D16" s="9">
        <v>1127</v>
      </c>
      <c r="E16" s="19">
        <v>6250</v>
      </c>
      <c r="F16" s="5"/>
      <c r="G16" s="6">
        <f t="shared" si="0"/>
        <v>1157416</v>
      </c>
      <c r="H16" s="20" t="s">
        <v>42</v>
      </c>
      <c r="I16" s="21" t="s">
        <v>45</v>
      </c>
      <c r="J16" s="9" t="s">
        <v>11</v>
      </c>
    </row>
    <row r="17" spans="1:10" s="10" customFormat="1" ht="26.25" x14ac:dyDescent="0.35">
      <c r="A17" s="2" t="s">
        <v>8</v>
      </c>
      <c r="B17" s="3">
        <v>45204</v>
      </c>
      <c r="C17" s="4"/>
      <c r="D17" s="9">
        <v>1128</v>
      </c>
      <c r="E17" s="19">
        <v>74000</v>
      </c>
      <c r="F17" s="5"/>
      <c r="G17" s="6">
        <f t="shared" si="0"/>
        <v>1231416</v>
      </c>
      <c r="H17" s="20" t="s">
        <v>42</v>
      </c>
      <c r="I17" s="21" t="s">
        <v>43</v>
      </c>
      <c r="J17" s="9" t="s">
        <v>44</v>
      </c>
    </row>
    <row r="18" spans="1:10" s="10" customFormat="1" ht="26.25" x14ac:dyDescent="0.35">
      <c r="A18" s="2" t="s">
        <v>8</v>
      </c>
      <c r="B18" s="3">
        <v>45204</v>
      </c>
      <c r="C18" s="4"/>
      <c r="D18" s="9">
        <v>1129</v>
      </c>
      <c r="E18" s="19">
        <v>180000</v>
      </c>
      <c r="F18" s="5"/>
      <c r="G18" s="6">
        <f t="shared" si="0"/>
        <v>1411416</v>
      </c>
      <c r="H18" s="20" t="s">
        <v>46</v>
      </c>
      <c r="I18" s="21" t="s">
        <v>47</v>
      </c>
      <c r="J18" s="9" t="s">
        <v>16</v>
      </c>
    </row>
    <row r="19" spans="1:10" s="10" customFormat="1" ht="26.25" x14ac:dyDescent="0.35">
      <c r="A19" s="2" t="s">
        <v>8</v>
      </c>
      <c r="B19" s="3">
        <v>45204</v>
      </c>
      <c r="C19" s="4"/>
      <c r="D19" s="9">
        <v>1130</v>
      </c>
      <c r="E19" s="19">
        <v>6000</v>
      </c>
      <c r="F19" s="5"/>
      <c r="G19" s="6">
        <f t="shared" si="0"/>
        <v>1417416</v>
      </c>
      <c r="H19" s="20" t="s">
        <v>48</v>
      </c>
      <c r="I19" s="21" t="s">
        <v>49</v>
      </c>
      <c r="J19" s="9" t="s">
        <v>50</v>
      </c>
    </row>
    <row r="20" spans="1:10" s="10" customFormat="1" ht="26.25" x14ac:dyDescent="0.35">
      <c r="A20" s="2" t="s">
        <v>8</v>
      </c>
      <c r="B20" s="3">
        <v>45204</v>
      </c>
      <c r="C20" s="4"/>
      <c r="D20" s="9">
        <v>1131</v>
      </c>
      <c r="E20" s="19">
        <v>25000</v>
      </c>
      <c r="F20" s="5"/>
      <c r="G20" s="6">
        <f t="shared" si="0"/>
        <v>1442416</v>
      </c>
      <c r="H20" s="20" t="s">
        <v>51</v>
      </c>
      <c r="I20" s="21" t="s">
        <v>52</v>
      </c>
      <c r="J20" s="9" t="s">
        <v>53</v>
      </c>
    </row>
    <row r="21" spans="1:10" s="10" customFormat="1" ht="26.25" x14ac:dyDescent="0.35">
      <c r="A21" s="2" t="s">
        <v>8</v>
      </c>
      <c r="B21" s="3">
        <v>45204</v>
      </c>
      <c r="C21" s="4"/>
      <c r="D21" s="9">
        <v>1132</v>
      </c>
      <c r="E21" s="19">
        <v>13000</v>
      </c>
      <c r="F21" s="5"/>
      <c r="G21" s="6">
        <f t="shared" si="0"/>
        <v>1455416</v>
      </c>
      <c r="H21" s="20" t="s">
        <v>54</v>
      </c>
      <c r="I21" s="21" t="s">
        <v>55</v>
      </c>
      <c r="J21" s="9" t="s">
        <v>31</v>
      </c>
    </row>
    <row r="22" spans="1:10" s="10" customFormat="1" ht="26.25" x14ac:dyDescent="0.35">
      <c r="A22" s="2" t="s">
        <v>8</v>
      </c>
      <c r="B22" s="3">
        <v>45204</v>
      </c>
      <c r="C22" s="4"/>
      <c r="D22" s="9">
        <v>1133</v>
      </c>
      <c r="E22" s="19">
        <v>68000</v>
      </c>
      <c r="F22" s="5"/>
      <c r="G22" s="6">
        <f t="shared" si="0"/>
        <v>1523416</v>
      </c>
      <c r="H22" s="20" t="s">
        <v>56</v>
      </c>
      <c r="I22" s="21" t="s">
        <v>57</v>
      </c>
      <c r="J22" s="9" t="s">
        <v>50</v>
      </c>
    </row>
    <row r="23" spans="1:10" s="10" customFormat="1" ht="26.25" x14ac:dyDescent="0.35">
      <c r="A23" s="2" t="s">
        <v>8</v>
      </c>
      <c r="B23" s="3">
        <v>45204</v>
      </c>
      <c r="C23" s="4"/>
      <c r="D23" s="9">
        <v>1134</v>
      </c>
      <c r="E23" s="19">
        <v>71000</v>
      </c>
      <c r="F23" s="5"/>
      <c r="G23" s="6">
        <f t="shared" si="0"/>
        <v>1594416</v>
      </c>
      <c r="H23" s="20" t="s">
        <v>56</v>
      </c>
      <c r="I23" s="21" t="s">
        <v>58</v>
      </c>
      <c r="J23" s="9" t="s">
        <v>59</v>
      </c>
    </row>
    <row r="24" spans="1:10" s="10" customFormat="1" ht="26.25" x14ac:dyDescent="0.35">
      <c r="A24" s="2" t="s">
        <v>8</v>
      </c>
      <c r="B24" s="3">
        <v>45204</v>
      </c>
      <c r="C24" s="4"/>
      <c r="D24" s="9">
        <v>1135</v>
      </c>
      <c r="E24" s="19"/>
      <c r="F24" s="5"/>
      <c r="G24" s="6">
        <f t="shared" si="0"/>
        <v>1594416</v>
      </c>
      <c r="H24" s="23" t="s">
        <v>60</v>
      </c>
      <c r="I24" s="24" t="s">
        <v>61</v>
      </c>
      <c r="J24" s="12" t="s">
        <v>62</v>
      </c>
    </row>
    <row r="25" spans="1:10" s="10" customFormat="1" ht="26.25" x14ac:dyDescent="0.35">
      <c r="A25" s="2" t="s">
        <v>8</v>
      </c>
      <c r="B25" s="3">
        <v>45204</v>
      </c>
      <c r="C25" s="4"/>
      <c r="D25" s="9">
        <v>1136</v>
      </c>
      <c r="E25" s="19">
        <v>66000</v>
      </c>
      <c r="F25" s="5"/>
      <c r="G25" s="6">
        <f t="shared" si="0"/>
        <v>1660416</v>
      </c>
      <c r="H25" s="20" t="s">
        <v>60</v>
      </c>
      <c r="I25" s="21" t="s">
        <v>63</v>
      </c>
      <c r="J25" s="9"/>
    </row>
    <row r="26" spans="1:10" s="10" customFormat="1" ht="26.25" x14ac:dyDescent="0.35">
      <c r="A26" s="2" t="s">
        <v>8</v>
      </c>
      <c r="B26" s="3">
        <v>45204</v>
      </c>
      <c r="C26" s="4"/>
      <c r="D26" s="9">
        <v>1137</v>
      </c>
      <c r="E26" s="19">
        <v>65000</v>
      </c>
      <c r="F26" s="5"/>
      <c r="G26" s="6">
        <f t="shared" si="0"/>
        <v>1725416</v>
      </c>
      <c r="H26" s="20" t="s">
        <v>64</v>
      </c>
      <c r="I26" s="21" t="s">
        <v>65</v>
      </c>
      <c r="J26" s="9" t="s">
        <v>50</v>
      </c>
    </row>
    <row r="27" spans="1:10" s="10" customFormat="1" ht="26.25" x14ac:dyDescent="0.35">
      <c r="A27" s="2"/>
      <c r="B27" s="3"/>
      <c r="C27" s="4"/>
      <c r="D27" s="9">
        <v>1138</v>
      </c>
      <c r="E27" s="19">
        <v>67500</v>
      </c>
      <c r="F27" s="5"/>
      <c r="G27" s="6">
        <f t="shared" si="0"/>
        <v>1792916</v>
      </c>
      <c r="H27" s="20" t="s">
        <v>90</v>
      </c>
      <c r="I27" s="21" t="s">
        <v>91</v>
      </c>
      <c r="J27" s="9"/>
    </row>
    <row r="28" spans="1:10" s="10" customFormat="1" ht="26.25" x14ac:dyDescent="0.35">
      <c r="A28" s="2" t="s">
        <v>8</v>
      </c>
      <c r="B28" s="3">
        <v>45204</v>
      </c>
      <c r="C28" s="4"/>
      <c r="D28" s="9"/>
      <c r="E28" s="19">
        <v>100000</v>
      </c>
      <c r="F28" s="195"/>
      <c r="G28" s="6">
        <f t="shared" si="0"/>
        <v>1892916</v>
      </c>
      <c r="H28" s="20" t="s">
        <v>66</v>
      </c>
      <c r="I28" s="21"/>
      <c r="J28" s="9"/>
    </row>
    <row r="29" spans="1:10" s="10" customFormat="1" ht="26.25" x14ac:dyDescent="0.35">
      <c r="A29" s="2"/>
      <c r="B29" s="3"/>
      <c r="C29" s="4">
        <v>1541</v>
      </c>
      <c r="D29" s="9"/>
      <c r="E29" s="19"/>
      <c r="F29" s="195">
        <v>100000</v>
      </c>
      <c r="G29" s="6">
        <f t="shared" si="0"/>
        <v>1792916</v>
      </c>
      <c r="H29" s="20" t="s">
        <v>67</v>
      </c>
      <c r="I29" s="21"/>
      <c r="J29" s="9"/>
    </row>
    <row r="30" spans="1:10" s="10" customFormat="1" ht="26.25" x14ac:dyDescent="0.35">
      <c r="A30" s="2" t="s">
        <v>8</v>
      </c>
      <c r="B30" s="3">
        <v>45204</v>
      </c>
      <c r="C30" s="4"/>
      <c r="D30" s="9"/>
      <c r="E30" s="22"/>
      <c r="F30" s="63">
        <v>1595416</v>
      </c>
      <c r="G30" s="6">
        <f t="shared" si="0"/>
        <v>197500</v>
      </c>
      <c r="H30" s="20" t="s">
        <v>66</v>
      </c>
      <c r="I30" s="21" t="s">
        <v>68</v>
      </c>
      <c r="J30" s="9"/>
    </row>
    <row r="31" spans="1:10" s="10" customFormat="1" ht="26.25" x14ac:dyDescent="0.35">
      <c r="A31" s="2" t="s">
        <v>8</v>
      </c>
      <c r="B31" s="3">
        <v>45204</v>
      </c>
      <c r="C31" s="4"/>
      <c r="D31" s="9"/>
      <c r="E31" s="19">
        <v>1150</v>
      </c>
      <c r="F31" s="5"/>
      <c r="G31" s="6">
        <f t="shared" si="0"/>
        <v>198650</v>
      </c>
      <c r="H31" s="20" t="s">
        <v>83</v>
      </c>
      <c r="I31" s="21" t="s">
        <v>84</v>
      </c>
      <c r="J31" s="9" t="s">
        <v>74</v>
      </c>
    </row>
    <row r="32" spans="1:10" s="10" customFormat="1" ht="26.25" x14ac:dyDescent="0.35">
      <c r="A32" s="2" t="s">
        <v>8</v>
      </c>
      <c r="B32" s="3">
        <v>45204</v>
      </c>
      <c r="C32" s="4">
        <v>1542</v>
      </c>
      <c r="D32" s="4"/>
      <c r="E32" s="11"/>
      <c r="F32" s="5">
        <v>40000</v>
      </c>
      <c r="G32" s="6">
        <f t="shared" si="0"/>
        <v>158650</v>
      </c>
      <c r="H32" s="7" t="s">
        <v>69</v>
      </c>
      <c r="I32" s="8" t="s">
        <v>70</v>
      </c>
      <c r="J32" s="9"/>
    </row>
    <row r="33" spans="1:10" s="10" customFormat="1" ht="26.25" x14ac:dyDescent="0.35">
      <c r="A33" s="2"/>
      <c r="B33" s="3"/>
      <c r="C33" s="4">
        <v>1543</v>
      </c>
      <c r="D33" s="4"/>
      <c r="E33" s="11"/>
      <c r="F33" s="5">
        <v>10000</v>
      </c>
      <c r="G33" s="6">
        <f t="shared" si="0"/>
        <v>148650</v>
      </c>
      <c r="H33" s="7" t="s">
        <v>71</v>
      </c>
      <c r="I33" s="8"/>
      <c r="J33" s="9"/>
    </row>
    <row r="34" spans="1:10" s="10" customFormat="1" ht="26.25" x14ac:dyDescent="0.35">
      <c r="A34" s="2" t="s">
        <v>8</v>
      </c>
      <c r="B34" s="3">
        <v>45204</v>
      </c>
      <c r="C34" s="4">
        <v>1544</v>
      </c>
      <c r="D34" s="4"/>
      <c r="E34" s="11"/>
      <c r="F34" s="5">
        <v>950</v>
      </c>
      <c r="G34" s="6">
        <f t="shared" si="0"/>
        <v>147700</v>
      </c>
      <c r="H34" s="7" t="s">
        <v>72</v>
      </c>
      <c r="I34" s="8" t="s">
        <v>73</v>
      </c>
      <c r="J34" s="9" t="s">
        <v>74</v>
      </c>
    </row>
    <row r="35" spans="1:10" s="10" customFormat="1" ht="26.25" x14ac:dyDescent="0.35">
      <c r="A35" s="2" t="s">
        <v>8</v>
      </c>
      <c r="B35" s="3">
        <v>45204</v>
      </c>
      <c r="C35" s="4">
        <v>1545</v>
      </c>
      <c r="D35" s="4"/>
      <c r="E35" s="11"/>
      <c r="F35" s="5">
        <v>1000</v>
      </c>
      <c r="G35" s="6">
        <f t="shared" si="0"/>
        <v>146700</v>
      </c>
      <c r="H35" s="7" t="s">
        <v>72</v>
      </c>
      <c r="I35" s="8" t="s">
        <v>75</v>
      </c>
      <c r="J35" s="9" t="s">
        <v>76</v>
      </c>
    </row>
    <row r="36" spans="1:10" s="10" customFormat="1" ht="26.25" x14ac:dyDescent="0.35">
      <c r="A36" s="2" t="s">
        <v>8</v>
      </c>
      <c r="B36" s="3">
        <v>45204</v>
      </c>
      <c r="C36" s="4">
        <v>1546</v>
      </c>
      <c r="D36" s="4"/>
      <c r="E36" s="11"/>
      <c r="F36" s="5">
        <v>60000</v>
      </c>
      <c r="G36" s="6">
        <f t="shared" si="0"/>
        <v>86700</v>
      </c>
      <c r="H36" s="7" t="s">
        <v>71</v>
      </c>
      <c r="I36" s="8" t="s">
        <v>77</v>
      </c>
      <c r="J36" s="9"/>
    </row>
    <row r="37" spans="1:10" s="10" customFormat="1" ht="26.25" x14ac:dyDescent="0.35">
      <c r="A37" s="2" t="s">
        <v>8</v>
      </c>
      <c r="B37" s="3">
        <v>45204</v>
      </c>
      <c r="C37" s="4">
        <v>1547</v>
      </c>
      <c r="D37" s="4"/>
      <c r="E37" s="11"/>
      <c r="F37" s="5">
        <v>500</v>
      </c>
      <c r="G37" s="6">
        <f t="shared" si="0"/>
        <v>86200</v>
      </c>
      <c r="H37" s="7" t="s">
        <v>72</v>
      </c>
      <c r="I37" s="8" t="s">
        <v>78</v>
      </c>
      <c r="J37" s="9" t="s">
        <v>76</v>
      </c>
    </row>
    <row r="38" spans="1:10" s="10" customFormat="1" ht="26.25" x14ac:dyDescent="0.35">
      <c r="A38" s="2" t="s">
        <v>8</v>
      </c>
      <c r="B38" s="3">
        <v>45204</v>
      </c>
      <c r="C38" s="4">
        <v>1548</v>
      </c>
      <c r="D38" s="4"/>
      <c r="E38" s="11"/>
      <c r="F38" s="5">
        <v>30000</v>
      </c>
      <c r="G38" s="6">
        <f t="shared" si="0"/>
        <v>56200</v>
      </c>
      <c r="H38" s="7" t="s">
        <v>79</v>
      </c>
      <c r="I38" s="8" t="s">
        <v>80</v>
      </c>
      <c r="J38" s="9" t="s">
        <v>31</v>
      </c>
    </row>
    <row r="39" spans="1:10" s="10" customFormat="1" ht="26.25" x14ac:dyDescent="0.35">
      <c r="A39" s="2" t="s">
        <v>8</v>
      </c>
      <c r="B39" s="3">
        <v>45204</v>
      </c>
      <c r="C39" s="4">
        <v>1549</v>
      </c>
      <c r="D39" s="4"/>
      <c r="E39" s="11"/>
      <c r="F39" s="5">
        <v>50000</v>
      </c>
      <c r="G39" s="6">
        <f t="shared" si="0"/>
        <v>6200</v>
      </c>
      <c r="H39" s="7" t="s">
        <v>81</v>
      </c>
      <c r="I39" s="8" t="s">
        <v>82</v>
      </c>
      <c r="J39" s="9"/>
    </row>
    <row r="40" spans="1:10" ht="30" customHeight="1" x14ac:dyDescent="0.35">
      <c r="C40" s="25">
        <v>1550</v>
      </c>
      <c r="F40" s="26">
        <v>16260</v>
      </c>
      <c r="G40" s="6">
        <f t="shared" si="0"/>
        <v>-10060</v>
      </c>
      <c r="H40" s="27" t="s">
        <v>88</v>
      </c>
      <c r="I40" s="28" t="s">
        <v>89</v>
      </c>
    </row>
    <row r="41" spans="1:10" ht="30" customHeight="1" x14ac:dyDescent="0.25"/>
    <row r="42" spans="1:10" ht="30" customHeight="1" x14ac:dyDescent="0.25"/>
  </sheetData>
  <conditionalFormatting sqref="C1:D1">
    <cfRule type="duplicateValues" dxfId="231" priority="9"/>
  </conditionalFormatting>
  <conditionalFormatting sqref="C2:D31">
    <cfRule type="duplicateValues" dxfId="230" priority="8"/>
  </conditionalFormatting>
  <conditionalFormatting sqref="C32:D33">
    <cfRule type="duplicateValues" dxfId="229" priority="2"/>
  </conditionalFormatting>
  <conditionalFormatting sqref="C34:D39 C40">
    <cfRule type="duplicateValues" dxfId="228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9"/>
  <sheetViews>
    <sheetView rightToLeft="1" view="pageBreakPreview" topLeftCell="B1" zoomScale="20" zoomScaleNormal="25" zoomScaleSheetLayoutView="20" workbookViewId="0">
      <pane ySplit="1" topLeftCell="A8" activePane="bottomLeft" state="frozen"/>
      <selection activeCell="B1" sqref="B1"/>
      <selection pane="bottomLeft" activeCell="I12" sqref="I12"/>
    </sheetView>
  </sheetViews>
  <sheetFormatPr defaultColWidth="9" defaultRowHeight="46.5" x14ac:dyDescent="0.7"/>
  <cols>
    <col min="1" max="1" width="12.42578125" style="153" hidden="1" customWidth="1"/>
    <col min="2" max="2" width="55.5703125" style="153" customWidth="1"/>
    <col min="3" max="3" width="50.140625" style="153" bestFit="1" customWidth="1"/>
    <col min="4" max="4" width="56.140625" style="153" bestFit="1" customWidth="1"/>
    <col min="5" max="5" width="71.28515625" style="153" bestFit="1" customWidth="1"/>
    <col min="6" max="6" width="73.85546875" style="153" bestFit="1" customWidth="1"/>
    <col min="7" max="7" width="74.5703125" style="153" customWidth="1"/>
    <col min="8" max="8" width="76.140625" style="153" customWidth="1"/>
    <col min="9" max="9" width="83.28515625" style="153" bestFit="1" customWidth="1"/>
    <col min="10" max="10" width="163" style="153" customWidth="1"/>
    <col min="11" max="11" width="70.140625" style="153" customWidth="1"/>
    <col min="12" max="16384" width="9" style="153"/>
  </cols>
  <sheetData>
    <row r="1" spans="1:11" ht="185.25" customHeight="1" thickBot="1" x14ac:dyDescent="0.75">
      <c r="A1" s="112"/>
      <c r="B1" s="202" t="s">
        <v>132</v>
      </c>
      <c r="C1" s="203" t="s">
        <v>1</v>
      </c>
      <c r="D1" s="204" t="s">
        <v>86</v>
      </c>
      <c r="E1" s="204" t="s">
        <v>163</v>
      </c>
      <c r="F1" s="205" t="s">
        <v>2</v>
      </c>
      <c r="G1" s="205" t="s">
        <v>3</v>
      </c>
      <c r="H1" s="205" t="s">
        <v>4</v>
      </c>
      <c r="I1" s="204" t="s">
        <v>92</v>
      </c>
      <c r="J1" s="204" t="s">
        <v>6</v>
      </c>
      <c r="K1" s="204" t="s">
        <v>7</v>
      </c>
    </row>
    <row r="2" spans="1:11" ht="180" customHeight="1" x14ac:dyDescent="0.7">
      <c r="A2" s="206" t="s">
        <v>114</v>
      </c>
      <c r="B2" s="207"/>
      <c r="C2" s="208"/>
      <c r="D2" s="207"/>
      <c r="E2" s="207"/>
      <c r="F2" s="209"/>
      <c r="G2" s="209"/>
      <c r="H2" s="210">
        <v>822900</v>
      </c>
      <c r="I2" s="210" t="s">
        <v>129</v>
      </c>
      <c r="J2" s="207"/>
      <c r="K2" s="207"/>
    </row>
    <row r="3" spans="1:11" ht="180" customHeight="1" x14ac:dyDescent="0.7">
      <c r="A3" s="207" t="s">
        <v>113</v>
      </c>
      <c r="B3" s="206" t="s">
        <v>114</v>
      </c>
      <c r="C3" s="211">
        <v>45214</v>
      </c>
      <c r="D3" s="206"/>
      <c r="E3" s="206">
        <v>1184</v>
      </c>
      <c r="F3" s="212">
        <v>50000</v>
      </c>
      <c r="G3" s="212"/>
      <c r="H3" s="212">
        <f t="shared" ref="H3:H13" si="0">+H2+F3-G3</f>
        <v>872900</v>
      </c>
      <c r="I3" s="206" t="s">
        <v>299</v>
      </c>
      <c r="J3" s="206" t="s">
        <v>300</v>
      </c>
      <c r="K3" s="206"/>
    </row>
    <row r="4" spans="1:11" ht="180" customHeight="1" x14ac:dyDescent="0.7">
      <c r="A4" s="206"/>
      <c r="B4" s="207" t="s">
        <v>114</v>
      </c>
      <c r="C4" s="208">
        <v>45214</v>
      </c>
      <c r="D4" s="207"/>
      <c r="E4" s="207">
        <v>1185</v>
      </c>
      <c r="F4" s="209">
        <v>15000</v>
      </c>
      <c r="G4" s="209"/>
      <c r="H4" s="210">
        <f t="shared" si="0"/>
        <v>887900</v>
      </c>
      <c r="I4" s="210" t="s">
        <v>304</v>
      </c>
      <c r="J4" s="207" t="s">
        <v>305</v>
      </c>
      <c r="K4" s="207"/>
    </row>
    <row r="5" spans="1:11" ht="180" customHeight="1" x14ac:dyDescent="0.7">
      <c r="A5" s="207"/>
      <c r="B5" s="206" t="s">
        <v>113</v>
      </c>
      <c r="C5" s="211">
        <v>45214</v>
      </c>
      <c r="D5" s="206">
        <v>1599</v>
      </c>
      <c r="E5" s="206"/>
      <c r="F5" s="212"/>
      <c r="G5" s="212">
        <v>120</v>
      </c>
      <c r="H5" s="212">
        <f t="shared" si="0"/>
        <v>887780</v>
      </c>
      <c r="I5" s="206" t="s">
        <v>303</v>
      </c>
      <c r="J5" s="206"/>
      <c r="K5" s="206"/>
    </row>
    <row r="6" spans="1:11" ht="180" customHeight="1" x14ac:dyDescent="0.7">
      <c r="A6" s="206"/>
      <c r="B6" s="207" t="s">
        <v>113</v>
      </c>
      <c r="C6" s="208">
        <v>45214</v>
      </c>
      <c r="D6" s="207">
        <v>1600</v>
      </c>
      <c r="E6" s="207"/>
      <c r="F6" s="209"/>
      <c r="G6" s="209">
        <v>0</v>
      </c>
      <c r="H6" s="210">
        <f t="shared" si="0"/>
        <v>887780</v>
      </c>
      <c r="I6" s="210" t="s">
        <v>190</v>
      </c>
      <c r="J6" s="207"/>
      <c r="K6" s="207"/>
    </row>
    <row r="7" spans="1:11" ht="180" customHeight="1" x14ac:dyDescent="0.7">
      <c r="A7" s="207"/>
      <c r="B7" s="206" t="s">
        <v>113</v>
      </c>
      <c r="C7" s="211">
        <v>45214</v>
      </c>
      <c r="D7" s="206">
        <v>1601</v>
      </c>
      <c r="E7" s="206"/>
      <c r="F7" s="212"/>
      <c r="G7" s="212">
        <v>150</v>
      </c>
      <c r="H7" s="212">
        <f t="shared" si="0"/>
        <v>887630</v>
      </c>
      <c r="I7" s="206" t="s">
        <v>308</v>
      </c>
      <c r="J7" s="206" t="s">
        <v>309</v>
      </c>
      <c r="K7" s="206"/>
    </row>
    <row r="8" spans="1:11" ht="180" customHeight="1" x14ac:dyDescent="0.7">
      <c r="A8" s="206"/>
      <c r="B8" s="207" t="s">
        <v>113</v>
      </c>
      <c r="C8" s="208">
        <v>45214</v>
      </c>
      <c r="D8" s="207">
        <v>1602</v>
      </c>
      <c r="E8" s="207"/>
      <c r="F8" s="209"/>
      <c r="G8" s="209">
        <v>50000</v>
      </c>
      <c r="H8" s="210">
        <f t="shared" si="0"/>
        <v>837630</v>
      </c>
      <c r="I8" s="210" t="s">
        <v>66</v>
      </c>
      <c r="J8" s="207" t="s">
        <v>310</v>
      </c>
      <c r="K8" s="207"/>
    </row>
    <row r="9" spans="1:11" ht="180" customHeight="1" x14ac:dyDescent="0.7">
      <c r="A9" s="207"/>
      <c r="B9" s="206" t="s">
        <v>113</v>
      </c>
      <c r="C9" s="211">
        <v>45214</v>
      </c>
      <c r="D9" s="206"/>
      <c r="E9" s="206"/>
      <c r="F9" s="212">
        <v>4693</v>
      </c>
      <c r="G9" s="212"/>
      <c r="H9" s="212">
        <f t="shared" si="0"/>
        <v>842323</v>
      </c>
      <c r="I9" s="206" t="s">
        <v>302</v>
      </c>
      <c r="J9" s="206"/>
      <c r="K9" s="206"/>
    </row>
    <row r="10" spans="1:11" ht="180" customHeight="1" x14ac:dyDescent="0.7">
      <c r="A10" s="206"/>
      <c r="B10" s="207" t="s">
        <v>114</v>
      </c>
      <c r="C10" s="208">
        <v>45214</v>
      </c>
      <c r="D10" s="207"/>
      <c r="E10" s="207" t="s">
        <v>297</v>
      </c>
      <c r="F10" s="209">
        <v>552600</v>
      </c>
      <c r="G10" s="209"/>
      <c r="H10" s="210">
        <f t="shared" si="0"/>
        <v>1394923</v>
      </c>
      <c r="I10" s="210" t="s">
        <v>306</v>
      </c>
      <c r="J10" s="207" t="s">
        <v>307</v>
      </c>
      <c r="K10" s="207"/>
    </row>
    <row r="11" spans="1:11" ht="180" customHeight="1" x14ac:dyDescent="0.7">
      <c r="A11" s="207"/>
      <c r="B11" s="206" t="s">
        <v>113</v>
      </c>
      <c r="C11" s="211">
        <v>45214</v>
      </c>
      <c r="D11" s="206"/>
      <c r="E11" s="206"/>
      <c r="F11" s="212">
        <v>1000000</v>
      </c>
      <c r="G11" s="212"/>
      <c r="H11" s="212">
        <f t="shared" si="0"/>
        <v>2394923</v>
      </c>
      <c r="I11" s="206" t="s">
        <v>203</v>
      </c>
      <c r="J11" s="206"/>
      <c r="K11" s="206"/>
    </row>
    <row r="12" spans="1:11" ht="180" customHeight="1" x14ac:dyDescent="0.7">
      <c r="A12" s="206"/>
      <c r="B12" s="207" t="s">
        <v>113</v>
      </c>
      <c r="C12" s="208">
        <v>45214</v>
      </c>
      <c r="D12" s="207">
        <v>1603</v>
      </c>
      <c r="E12" s="207"/>
      <c r="F12" s="209"/>
      <c r="G12" s="209">
        <v>1000000</v>
      </c>
      <c r="H12" s="210">
        <f t="shared" si="0"/>
        <v>1394923</v>
      </c>
      <c r="I12" s="210" t="s">
        <v>301</v>
      </c>
      <c r="J12" s="207"/>
      <c r="K12" s="207"/>
    </row>
    <row r="13" spans="1:11" ht="180" customHeight="1" x14ac:dyDescent="0.7">
      <c r="A13" s="207"/>
      <c r="B13" s="206" t="s">
        <v>113</v>
      </c>
      <c r="C13" s="211">
        <v>45214</v>
      </c>
      <c r="D13" s="206">
        <v>1604</v>
      </c>
      <c r="E13" s="206"/>
      <c r="F13" s="212"/>
      <c r="G13" s="212">
        <v>356000</v>
      </c>
      <c r="H13" s="212">
        <f t="shared" si="0"/>
        <v>1038923</v>
      </c>
      <c r="I13" s="206" t="s">
        <v>311</v>
      </c>
      <c r="J13" s="206"/>
      <c r="K13" s="206"/>
    </row>
    <row r="14" spans="1:11" ht="86.25" customHeight="1" thickBot="1" x14ac:dyDescent="0.75">
      <c r="A14" s="199"/>
      <c r="B14" s="181"/>
      <c r="C14" s="200"/>
      <c r="D14" s="181"/>
      <c r="E14" s="181"/>
      <c r="F14" s="183"/>
      <c r="G14" s="183"/>
      <c r="H14" s="201"/>
      <c r="I14" s="201"/>
      <c r="J14" s="184"/>
      <c r="K14" s="181"/>
    </row>
    <row r="15" spans="1:11" ht="154.5" customHeight="1" thickTop="1" x14ac:dyDescent="0.7">
      <c r="B15" s="170"/>
      <c r="C15" s="109" t="s">
        <v>127</v>
      </c>
      <c r="D15" s="110" t="s">
        <v>115</v>
      </c>
      <c r="E15" s="110" t="s">
        <v>179</v>
      </c>
      <c r="F15" s="110" t="s">
        <v>116</v>
      </c>
      <c r="G15" s="100" t="s">
        <v>180</v>
      </c>
      <c r="H15" s="111" t="s">
        <v>211</v>
      </c>
      <c r="I15" s="175"/>
      <c r="J15" s="176"/>
      <c r="K15" s="176"/>
    </row>
    <row r="16" spans="1:11" ht="157.5" customHeight="1" thickBot="1" x14ac:dyDescent="0.75">
      <c r="B16" s="181"/>
      <c r="C16" s="102">
        <f>$H$2</f>
        <v>822900</v>
      </c>
      <c r="D16" s="103">
        <f>SUMIF(B3:B13,$A$3,F3:F$13)</f>
        <v>1004693</v>
      </c>
      <c r="E16" s="103">
        <f>SUMIF(B2:B13,A3,G2:$G$13)</f>
        <v>1406270</v>
      </c>
      <c r="F16" s="103">
        <f>SUMIF(B2:B13,A2,F2:$F$13)</f>
        <v>617600</v>
      </c>
      <c r="G16" s="103">
        <f>SUMIF(B2:B9,A2,G2:$G$9)</f>
        <v>0</v>
      </c>
      <c r="H16" s="104">
        <f>+C16+D16+F16-E16-G16</f>
        <v>1038923</v>
      </c>
      <c r="I16" s="184"/>
      <c r="J16" s="105"/>
      <c r="K16" s="105"/>
    </row>
    <row r="17" spans="2:11" ht="165" customHeight="1" thickTop="1" x14ac:dyDescent="0.7">
      <c r="B17" s="161"/>
      <c r="C17" s="161"/>
      <c r="D17" s="106">
        <f>+C16+D16-E16</f>
        <v>421323</v>
      </c>
      <c r="E17" s="562" t="s">
        <v>181</v>
      </c>
      <c r="F17" s="562"/>
      <c r="G17" s="562"/>
      <c r="H17" s="163"/>
      <c r="I17" s="164"/>
      <c r="J17" s="161"/>
      <c r="K17" s="161"/>
    </row>
    <row r="18" spans="2:11" ht="48.75" customHeight="1" x14ac:dyDescent="0.7">
      <c r="B18" s="181"/>
      <c r="C18" s="181"/>
      <c r="D18" s="182"/>
      <c r="E18" s="563" t="s">
        <v>278</v>
      </c>
      <c r="F18" s="563"/>
      <c r="G18" s="563"/>
      <c r="H18" s="183"/>
      <c r="I18" s="184"/>
      <c r="J18" s="181"/>
      <c r="K18" s="181"/>
    </row>
    <row r="19" spans="2:11" ht="48.75" customHeight="1" x14ac:dyDescent="0.7">
      <c r="B19" s="181"/>
      <c r="C19" s="181"/>
      <c r="D19" s="182"/>
      <c r="E19" s="185" t="s">
        <v>279</v>
      </c>
      <c r="F19" s="185" t="s">
        <v>280</v>
      </c>
      <c r="G19" s="185" t="s">
        <v>281</v>
      </c>
      <c r="H19" s="183"/>
      <c r="I19" s="184"/>
      <c r="J19" s="181"/>
      <c r="K19" s="181"/>
    </row>
    <row r="20" spans="2:11" ht="48.75" customHeight="1" x14ac:dyDescent="0.7">
      <c r="B20" s="181"/>
      <c r="C20" s="181"/>
      <c r="D20" s="181"/>
      <c r="E20" s="185">
        <v>1850</v>
      </c>
      <c r="F20" s="186">
        <v>200</v>
      </c>
      <c r="G20" s="186">
        <f>+F20*E20</f>
        <v>370000</v>
      </c>
      <c r="H20" s="183"/>
      <c r="I20" s="184"/>
      <c r="J20" s="181"/>
      <c r="K20" s="181"/>
    </row>
    <row r="21" spans="2:11" ht="48.75" customHeight="1" x14ac:dyDescent="0.7">
      <c r="B21" s="181"/>
      <c r="C21" s="181"/>
      <c r="D21" s="181"/>
      <c r="E21" s="185">
        <v>504</v>
      </c>
      <c r="F21" s="186">
        <v>100</v>
      </c>
      <c r="G21" s="186">
        <f t="shared" ref="G21:G26" si="1">+F21*E21</f>
        <v>50400</v>
      </c>
      <c r="H21" s="183"/>
      <c r="I21" s="184"/>
      <c r="J21" s="181"/>
      <c r="K21" s="181"/>
    </row>
    <row r="22" spans="2:11" ht="48.75" customHeight="1" x14ac:dyDescent="0.7">
      <c r="B22" s="181"/>
      <c r="C22" s="181"/>
      <c r="D22" s="181"/>
      <c r="E22" s="185">
        <v>9</v>
      </c>
      <c r="F22" s="186">
        <v>50</v>
      </c>
      <c r="G22" s="186">
        <f t="shared" si="1"/>
        <v>450</v>
      </c>
      <c r="H22" s="183"/>
      <c r="I22" s="184"/>
      <c r="J22" s="181"/>
      <c r="K22" s="181"/>
    </row>
    <row r="23" spans="2:11" ht="48.75" customHeight="1" x14ac:dyDescent="0.7">
      <c r="B23" s="181"/>
      <c r="C23" s="181"/>
      <c r="D23" s="181"/>
      <c r="E23" s="185">
        <v>14</v>
      </c>
      <c r="F23" s="186">
        <v>20</v>
      </c>
      <c r="G23" s="186">
        <f t="shared" si="1"/>
        <v>280</v>
      </c>
      <c r="H23" s="183"/>
      <c r="I23" s="184"/>
      <c r="J23" s="181"/>
      <c r="K23" s="181"/>
    </row>
    <row r="24" spans="2:11" ht="48.75" customHeight="1" x14ac:dyDescent="0.7">
      <c r="B24" s="181"/>
      <c r="C24" s="181"/>
      <c r="D24" s="181"/>
      <c r="E24" s="185">
        <v>4</v>
      </c>
      <c r="F24" s="186">
        <v>10</v>
      </c>
      <c r="G24" s="186">
        <f t="shared" si="1"/>
        <v>40</v>
      </c>
      <c r="H24" s="183"/>
      <c r="I24" s="184"/>
      <c r="J24" s="181"/>
      <c r="K24" s="181"/>
    </row>
    <row r="25" spans="2:11" ht="48.75" customHeight="1" x14ac:dyDescent="0.7">
      <c r="B25" s="181"/>
      <c r="C25" s="181"/>
      <c r="D25" s="181"/>
      <c r="E25" s="185">
        <v>6</v>
      </c>
      <c r="F25" s="186">
        <v>5</v>
      </c>
      <c r="G25" s="186">
        <f t="shared" si="1"/>
        <v>30</v>
      </c>
      <c r="H25" s="183"/>
      <c r="I25" s="184"/>
      <c r="J25" s="181"/>
      <c r="K25" s="181"/>
    </row>
    <row r="26" spans="2:11" ht="48.75" customHeight="1" x14ac:dyDescent="0.7">
      <c r="B26" s="181"/>
      <c r="C26" s="181"/>
      <c r="D26" s="181"/>
      <c r="E26" s="185">
        <v>26</v>
      </c>
      <c r="F26" s="186">
        <v>1</v>
      </c>
      <c r="G26" s="186">
        <f t="shared" si="1"/>
        <v>26</v>
      </c>
      <c r="H26" s="183"/>
      <c r="I26" s="184"/>
      <c r="J26" s="181"/>
      <c r="K26" s="181"/>
    </row>
    <row r="27" spans="2:11" ht="48.75" customHeight="1" x14ac:dyDescent="0.7">
      <c r="B27" s="181"/>
      <c r="C27" s="181"/>
      <c r="D27" s="181"/>
      <c r="E27" s="185"/>
      <c r="F27" s="186" t="s">
        <v>283</v>
      </c>
      <c r="G27" s="186">
        <f>SUM(G20:G26)</f>
        <v>421226</v>
      </c>
      <c r="H27" s="183"/>
      <c r="I27" s="184"/>
      <c r="J27" s="181"/>
      <c r="K27" s="181"/>
    </row>
    <row r="28" spans="2:11" ht="48.75" customHeight="1" x14ac:dyDescent="0.7">
      <c r="B28" s="181"/>
      <c r="C28" s="181"/>
      <c r="D28" s="181"/>
      <c r="E28" s="185"/>
      <c r="F28" s="186" t="s">
        <v>282</v>
      </c>
      <c r="G28" s="186">
        <f>D17</f>
        <v>421323</v>
      </c>
      <c r="H28" s="183"/>
      <c r="I28" s="184"/>
      <c r="J28" s="181"/>
      <c r="K28" s="181"/>
    </row>
    <row r="29" spans="2:11" ht="48.75" customHeight="1" x14ac:dyDescent="0.7">
      <c r="B29" s="181"/>
      <c r="C29" s="181"/>
      <c r="D29" s="181"/>
      <c r="E29" s="185"/>
      <c r="F29" s="186" t="s">
        <v>284</v>
      </c>
      <c r="G29" s="186">
        <f>+G27-G28</f>
        <v>-97</v>
      </c>
      <c r="H29" s="183"/>
      <c r="I29" s="184"/>
      <c r="J29" s="181"/>
      <c r="K29" s="181"/>
    </row>
  </sheetData>
  <mergeCells count="2">
    <mergeCell ref="E17:G17"/>
    <mergeCell ref="E18:G18"/>
  </mergeCells>
  <conditionalFormatting sqref="A2">
    <cfRule type="cellIs" dxfId="198" priority="24" operator="equal">
      <formula>#REF!</formula>
    </cfRule>
  </conditionalFormatting>
  <conditionalFormatting sqref="A4">
    <cfRule type="cellIs" dxfId="197" priority="16" operator="equal">
      <formula>#REF!</formula>
    </cfRule>
  </conditionalFormatting>
  <conditionalFormatting sqref="A6 A8 A10 A12">
    <cfRule type="cellIs" dxfId="196" priority="1" operator="equal">
      <formula>#REF!</formula>
    </cfRule>
  </conditionalFormatting>
  <conditionalFormatting sqref="A14">
    <cfRule type="cellIs" dxfId="195" priority="12" operator="equal">
      <formula>#REF!</formula>
    </cfRule>
  </conditionalFormatting>
  <conditionalFormatting sqref="B1:B2 B15:B29">
    <cfRule type="cellIs" dxfId="194" priority="28" operator="equal">
      <formula>#REF!</formula>
    </cfRule>
  </conditionalFormatting>
  <conditionalFormatting sqref="B3">
    <cfRule type="cellIs" dxfId="193" priority="26" operator="equal">
      <formula>#REF!</formula>
    </cfRule>
  </conditionalFormatting>
  <conditionalFormatting sqref="B4:B14">
    <cfRule type="cellIs" dxfId="192" priority="2" operator="equal">
      <formula>#REF!</formula>
    </cfRule>
  </conditionalFormatting>
  <conditionalFormatting sqref="D1:E1">
    <cfRule type="duplicateValues" dxfId="191" priority="27"/>
  </conditionalFormatting>
  <printOptions horizontalCentered="1" verticalCentered="1"/>
  <pageMargins left="0.7" right="0.7" top="0.75" bottom="0.75" header="0.3" footer="0.3"/>
  <pageSetup paperSize="9" scale="15" fitToHeight="2" orientation="landscape" r:id="rId1"/>
  <rowBreaks count="1" manualBreakCount="1">
    <brk id="14" min="1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9"/>
  <sheetViews>
    <sheetView rightToLeft="1" view="pageBreakPreview" topLeftCell="B1" zoomScale="20" zoomScaleNormal="25" zoomScaleSheetLayoutView="20" workbookViewId="0">
      <pane ySplit="1" topLeftCell="A3" activePane="bottomLeft" state="frozen"/>
      <selection activeCell="B1" sqref="B1"/>
      <selection pane="bottomLeft" activeCell="B3" sqref="B3"/>
    </sheetView>
  </sheetViews>
  <sheetFormatPr defaultColWidth="9" defaultRowHeight="46.5" x14ac:dyDescent="0.7"/>
  <cols>
    <col min="1" max="1" width="12.42578125" style="153" hidden="1" customWidth="1"/>
    <col min="2" max="2" width="55.5703125" style="153" customWidth="1"/>
    <col min="3" max="3" width="50.140625" style="153" bestFit="1" customWidth="1"/>
    <col min="4" max="4" width="66.42578125" style="153" bestFit="1" customWidth="1"/>
    <col min="5" max="5" width="71.28515625" style="153" bestFit="1" customWidth="1"/>
    <col min="6" max="6" width="73.85546875" style="153" bestFit="1" customWidth="1"/>
    <col min="7" max="7" width="94" style="153" customWidth="1"/>
    <col min="8" max="8" width="76.140625" style="153" customWidth="1"/>
    <col min="9" max="9" width="111.42578125" style="153" customWidth="1"/>
    <col min="10" max="10" width="166.42578125" style="153" customWidth="1"/>
    <col min="11" max="11" width="75.140625" style="153" customWidth="1"/>
    <col min="12" max="16384" width="9" style="153"/>
  </cols>
  <sheetData>
    <row r="1" spans="1:11" ht="185.25" customHeight="1" thickBot="1" x14ac:dyDescent="0.75">
      <c r="A1" s="112"/>
      <c r="B1" s="202" t="s">
        <v>132</v>
      </c>
      <c r="C1" s="203" t="s">
        <v>1</v>
      </c>
      <c r="D1" s="204" t="s">
        <v>86</v>
      </c>
      <c r="E1" s="204" t="s">
        <v>163</v>
      </c>
      <c r="F1" s="205" t="s">
        <v>2</v>
      </c>
      <c r="G1" s="205" t="s">
        <v>3</v>
      </c>
      <c r="H1" s="205" t="s">
        <v>4</v>
      </c>
      <c r="I1" s="204" t="s">
        <v>92</v>
      </c>
      <c r="J1" s="204" t="s">
        <v>6</v>
      </c>
      <c r="K1" s="204" t="s">
        <v>7</v>
      </c>
    </row>
    <row r="2" spans="1:11" ht="180" customHeight="1" x14ac:dyDescent="0.7">
      <c r="A2" s="206" t="s">
        <v>114</v>
      </c>
      <c r="B2" s="207"/>
      <c r="C2" s="208"/>
      <c r="D2" s="207"/>
      <c r="E2" s="207"/>
      <c r="F2" s="209"/>
      <c r="G2" s="209"/>
      <c r="H2" s="210">
        <v>421323</v>
      </c>
      <c r="I2" s="210" t="s">
        <v>129</v>
      </c>
      <c r="J2" s="207"/>
      <c r="K2" s="207"/>
    </row>
    <row r="3" spans="1:11" ht="180" customHeight="1" x14ac:dyDescent="0.7">
      <c r="A3" s="207" t="s">
        <v>113</v>
      </c>
      <c r="B3" s="206" t="s">
        <v>114</v>
      </c>
      <c r="C3" s="211"/>
      <c r="D3" s="206"/>
      <c r="E3" s="206">
        <v>1186</v>
      </c>
      <c r="F3" s="212">
        <v>100000</v>
      </c>
      <c r="G3" s="212"/>
      <c r="H3" s="212">
        <f t="shared" ref="H3:H13" si="0">+H2+F3-G3</f>
        <v>521323</v>
      </c>
      <c r="I3" s="206" t="s">
        <v>312</v>
      </c>
      <c r="J3" s="206" t="s">
        <v>323</v>
      </c>
      <c r="K3" s="206"/>
    </row>
    <row r="4" spans="1:11" ht="180" customHeight="1" x14ac:dyDescent="0.7">
      <c r="A4" s="206"/>
      <c r="B4" s="207" t="s">
        <v>114</v>
      </c>
      <c r="C4" s="208"/>
      <c r="D4" s="207"/>
      <c r="E4" s="207" t="s">
        <v>297</v>
      </c>
      <c r="F4" s="209">
        <v>82500</v>
      </c>
      <c r="G4" s="209"/>
      <c r="H4" s="210">
        <f t="shared" si="0"/>
        <v>603823</v>
      </c>
      <c r="I4" s="210" t="s">
        <v>275</v>
      </c>
      <c r="J4" s="207" t="s">
        <v>313</v>
      </c>
      <c r="K4" s="207" t="s">
        <v>314</v>
      </c>
    </row>
    <row r="5" spans="1:11" ht="180" customHeight="1" x14ac:dyDescent="0.7">
      <c r="A5" s="207"/>
      <c r="B5" s="206" t="s">
        <v>113</v>
      </c>
      <c r="C5" s="211"/>
      <c r="D5" s="206">
        <v>1605</v>
      </c>
      <c r="E5" s="206"/>
      <c r="F5" s="212"/>
      <c r="G5" s="212">
        <v>50000</v>
      </c>
      <c r="H5" s="212">
        <f t="shared" si="0"/>
        <v>553823</v>
      </c>
      <c r="I5" s="206" t="s">
        <v>315</v>
      </c>
      <c r="J5" s="206" t="s">
        <v>316</v>
      </c>
      <c r="K5" s="206"/>
    </row>
    <row r="6" spans="1:11" ht="180" customHeight="1" x14ac:dyDescent="0.7">
      <c r="A6" s="206"/>
      <c r="B6" s="207" t="s">
        <v>113</v>
      </c>
      <c r="C6" s="208"/>
      <c r="D6" s="207"/>
      <c r="E6" s="207"/>
      <c r="F6" s="209">
        <v>300000</v>
      </c>
      <c r="G6" s="209"/>
      <c r="H6" s="210">
        <f t="shared" si="0"/>
        <v>853823</v>
      </c>
      <c r="I6" s="210" t="s">
        <v>203</v>
      </c>
      <c r="J6" s="207"/>
      <c r="K6" s="207"/>
    </row>
    <row r="7" spans="1:11" ht="180" customHeight="1" x14ac:dyDescent="0.7">
      <c r="A7" s="207"/>
      <c r="B7" s="206" t="s">
        <v>113</v>
      </c>
      <c r="C7" s="211"/>
      <c r="D7" s="206">
        <v>1606</v>
      </c>
      <c r="E7" s="206"/>
      <c r="F7" s="212"/>
      <c r="G7" s="212">
        <v>300000</v>
      </c>
      <c r="H7" s="212">
        <f t="shared" si="0"/>
        <v>553823</v>
      </c>
      <c r="I7" s="206" t="s">
        <v>208</v>
      </c>
      <c r="J7" s="214" t="s">
        <v>317</v>
      </c>
      <c r="K7" s="206"/>
    </row>
    <row r="8" spans="1:11" ht="180" customHeight="1" x14ac:dyDescent="0.7">
      <c r="A8" s="206"/>
      <c r="B8" s="207" t="s">
        <v>113</v>
      </c>
      <c r="C8" s="208"/>
      <c r="D8" s="207">
        <v>1607</v>
      </c>
      <c r="E8" s="207"/>
      <c r="F8" s="209"/>
      <c r="G8" s="209">
        <v>5000</v>
      </c>
      <c r="H8" s="210">
        <f t="shared" si="0"/>
        <v>548823</v>
      </c>
      <c r="I8" s="210" t="s">
        <v>199</v>
      </c>
      <c r="J8" s="207" t="s">
        <v>318</v>
      </c>
      <c r="K8" s="207"/>
    </row>
    <row r="9" spans="1:11" ht="180" customHeight="1" x14ac:dyDescent="0.7">
      <c r="A9" s="207"/>
      <c r="B9" s="206" t="s">
        <v>113</v>
      </c>
      <c r="C9" s="211"/>
      <c r="D9" s="206">
        <v>1608</v>
      </c>
      <c r="E9" s="206"/>
      <c r="F9" s="212"/>
      <c r="G9" s="212">
        <v>20000</v>
      </c>
      <c r="H9" s="212">
        <f t="shared" si="0"/>
        <v>528823</v>
      </c>
      <c r="I9" s="206" t="s">
        <v>71</v>
      </c>
      <c r="J9" s="206" t="s">
        <v>318</v>
      </c>
      <c r="K9" s="206"/>
    </row>
    <row r="10" spans="1:11" ht="180" customHeight="1" x14ac:dyDescent="0.7">
      <c r="A10" s="206"/>
      <c r="B10" s="207" t="s">
        <v>113</v>
      </c>
      <c r="C10" s="208"/>
      <c r="D10" s="207">
        <v>1609</v>
      </c>
      <c r="E10" s="207"/>
      <c r="F10" s="209"/>
      <c r="G10" s="209">
        <v>10000</v>
      </c>
      <c r="H10" s="210">
        <f t="shared" si="0"/>
        <v>518823</v>
      </c>
      <c r="I10" s="210" t="s">
        <v>319</v>
      </c>
      <c r="J10" s="207" t="s">
        <v>320</v>
      </c>
      <c r="K10" s="207"/>
    </row>
    <row r="11" spans="1:11" ht="180" customHeight="1" x14ac:dyDescent="0.7">
      <c r="A11" s="207"/>
      <c r="B11" s="206" t="s">
        <v>114</v>
      </c>
      <c r="C11" s="211"/>
      <c r="D11" s="206"/>
      <c r="E11" s="206" t="s">
        <v>297</v>
      </c>
      <c r="F11" s="212">
        <v>500000</v>
      </c>
      <c r="G11" s="212"/>
      <c r="H11" s="212">
        <f t="shared" si="0"/>
        <v>1018823</v>
      </c>
      <c r="I11" s="206" t="s">
        <v>321</v>
      </c>
      <c r="J11" s="206" t="s">
        <v>322</v>
      </c>
      <c r="K11" s="206"/>
    </row>
    <row r="12" spans="1:11" ht="180" customHeight="1" x14ac:dyDescent="0.7">
      <c r="A12" s="206"/>
      <c r="B12" s="207" t="s">
        <v>113</v>
      </c>
      <c r="C12" s="208"/>
      <c r="D12" s="207"/>
      <c r="E12" s="207"/>
      <c r="F12" s="209"/>
      <c r="G12" s="209"/>
      <c r="H12" s="210">
        <f t="shared" si="0"/>
        <v>1018823</v>
      </c>
      <c r="I12" s="210"/>
      <c r="J12" s="207"/>
      <c r="K12" s="207"/>
    </row>
    <row r="13" spans="1:11" ht="180" customHeight="1" x14ac:dyDescent="0.7">
      <c r="A13" s="207"/>
      <c r="B13" s="206" t="s">
        <v>113</v>
      </c>
      <c r="C13" s="211"/>
      <c r="D13" s="206"/>
      <c r="E13" s="206"/>
      <c r="F13" s="212"/>
      <c r="G13" s="212"/>
      <c r="H13" s="212">
        <f t="shared" si="0"/>
        <v>1018823</v>
      </c>
      <c r="I13" s="206"/>
      <c r="J13" s="206"/>
      <c r="K13" s="206"/>
    </row>
    <row r="14" spans="1:11" ht="112.5" customHeight="1" thickBot="1" x14ac:dyDescent="0.75">
      <c r="A14" s="199"/>
      <c r="B14" s="181"/>
      <c r="C14" s="200"/>
      <c r="D14" s="181"/>
      <c r="E14" s="181"/>
      <c r="F14" s="183"/>
      <c r="G14" s="183"/>
      <c r="H14" s="201"/>
      <c r="I14" s="201"/>
      <c r="J14" s="184"/>
      <c r="K14" s="181"/>
    </row>
    <row r="15" spans="1:11" ht="154.5" customHeight="1" thickTop="1" x14ac:dyDescent="0.7">
      <c r="B15" s="170"/>
      <c r="C15" s="109" t="s">
        <v>127</v>
      </c>
      <c r="D15" s="110" t="s">
        <v>115</v>
      </c>
      <c r="E15" s="110" t="s">
        <v>179</v>
      </c>
      <c r="F15" s="110" t="s">
        <v>116</v>
      </c>
      <c r="G15" s="100" t="s">
        <v>180</v>
      </c>
      <c r="H15" s="111" t="s">
        <v>211</v>
      </c>
      <c r="I15" s="175"/>
      <c r="J15" s="176"/>
      <c r="K15" s="176"/>
    </row>
    <row r="16" spans="1:11" ht="157.5" customHeight="1" thickBot="1" x14ac:dyDescent="0.75">
      <c r="B16" s="181"/>
      <c r="C16" s="102">
        <f>$H$2</f>
        <v>421323</v>
      </c>
      <c r="D16" s="103">
        <f>SUMIF(B3:B13,$A$3,F3:F$13)</f>
        <v>300000</v>
      </c>
      <c r="E16" s="103">
        <f>SUMIF(B2:B13,A3,G2:$G$13)</f>
        <v>385000</v>
      </c>
      <c r="F16" s="103">
        <f>SUMIF(B2:B13,A2,F2:$F$13)</f>
        <v>682500</v>
      </c>
      <c r="G16" s="103">
        <f>SUMIF(B2:B9,A2,G2:$G$9)</f>
        <v>0</v>
      </c>
      <c r="H16" s="104">
        <f>+C16+D16+F16-E16-G16</f>
        <v>1018823</v>
      </c>
      <c r="I16" s="184"/>
      <c r="J16" s="105"/>
      <c r="K16" s="105"/>
    </row>
    <row r="17" spans="2:11" ht="165" customHeight="1" thickTop="1" x14ac:dyDescent="0.7">
      <c r="B17" s="161"/>
      <c r="C17" s="161"/>
      <c r="D17" s="219">
        <f>+C16+D16-E16</f>
        <v>336323</v>
      </c>
      <c r="E17" s="562" t="s">
        <v>181</v>
      </c>
      <c r="F17" s="562"/>
      <c r="G17" s="562"/>
      <c r="H17" s="163"/>
      <c r="I17" s="164"/>
      <c r="J17" s="161"/>
      <c r="K17" s="161"/>
    </row>
    <row r="18" spans="2:11" ht="108.75" customHeight="1" x14ac:dyDescent="0.7">
      <c r="B18" s="181"/>
      <c r="C18" s="181"/>
      <c r="D18" s="182"/>
      <c r="E18" s="563" t="s">
        <v>278</v>
      </c>
      <c r="F18" s="563"/>
      <c r="G18" s="563"/>
      <c r="H18" s="183"/>
      <c r="I18" s="184"/>
      <c r="J18" s="181"/>
      <c r="K18" s="181"/>
    </row>
    <row r="19" spans="2:11" ht="108.75" customHeight="1" x14ac:dyDescent="0.7">
      <c r="B19" s="181"/>
      <c r="C19" s="181"/>
      <c r="D19" s="182"/>
      <c r="E19" s="185" t="s">
        <v>279</v>
      </c>
      <c r="F19" s="185" t="s">
        <v>280</v>
      </c>
      <c r="G19" s="185" t="s">
        <v>281</v>
      </c>
      <c r="H19" s="183"/>
      <c r="I19" s="184"/>
      <c r="J19" s="181"/>
      <c r="K19" s="181"/>
    </row>
    <row r="20" spans="2:11" s="218" customFormat="1" ht="123.75" customHeight="1" x14ac:dyDescent="0.9">
      <c r="B20" s="207"/>
      <c r="C20" s="207"/>
      <c r="D20" s="207"/>
      <c r="E20" s="215">
        <v>1675</v>
      </c>
      <c r="F20" s="216">
        <v>200</v>
      </c>
      <c r="G20" s="216">
        <f>+F20*E20</f>
        <v>335000</v>
      </c>
      <c r="H20" s="209"/>
      <c r="I20" s="217"/>
      <c r="J20" s="207"/>
      <c r="K20" s="207"/>
    </row>
    <row r="21" spans="2:11" s="218" customFormat="1" ht="123.75" customHeight="1" x14ac:dyDescent="0.9">
      <c r="B21" s="207"/>
      <c r="C21" s="207"/>
      <c r="D21" s="207"/>
      <c r="E21" s="215">
        <v>5</v>
      </c>
      <c r="F21" s="216">
        <v>100</v>
      </c>
      <c r="G21" s="216">
        <f t="shared" ref="G21:G26" si="1">+F21*E21</f>
        <v>500</v>
      </c>
      <c r="H21" s="209"/>
      <c r="I21" s="217"/>
      <c r="J21" s="207"/>
      <c r="K21" s="207"/>
    </row>
    <row r="22" spans="2:11" s="218" customFormat="1" ht="123.75" customHeight="1" x14ac:dyDescent="0.9">
      <c r="B22" s="207"/>
      <c r="C22" s="207"/>
      <c r="D22" s="207"/>
      <c r="E22" s="215">
        <v>9</v>
      </c>
      <c r="F22" s="216">
        <v>50</v>
      </c>
      <c r="G22" s="216">
        <f t="shared" si="1"/>
        <v>450</v>
      </c>
      <c r="H22" s="209"/>
      <c r="I22" s="217"/>
      <c r="J22" s="207"/>
      <c r="K22" s="207"/>
    </row>
    <row r="23" spans="2:11" s="218" customFormat="1" ht="123.75" customHeight="1" x14ac:dyDescent="0.9">
      <c r="B23" s="207"/>
      <c r="C23" s="207"/>
      <c r="D23" s="207"/>
      <c r="E23" s="215">
        <v>14</v>
      </c>
      <c r="F23" s="216">
        <v>20</v>
      </c>
      <c r="G23" s="216">
        <f t="shared" si="1"/>
        <v>280</v>
      </c>
      <c r="H23" s="209"/>
      <c r="I23" s="217"/>
      <c r="J23" s="207"/>
      <c r="K23" s="207"/>
    </row>
    <row r="24" spans="2:11" s="218" customFormat="1" ht="123.75" customHeight="1" x14ac:dyDescent="0.9">
      <c r="B24" s="207"/>
      <c r="C24" s="207"/>
      <c r="D24" s="207"/>
      <c r="E24" s="215">
        <v>4</v>
      </c>
      <c r="F24" s="216">
        <v>10</v>
      </c>
      <c r="G24" s="216">
        <f t="shared" si="1"/>
        <v>40</v>
      </c>
      <c r="H24" s="209"/>
      <c r="I24" s="217"/>
      <c r="J24" s="207"/>
      <c r="K24" s="207"/>
    </row>
    <row r="25" spans="2:11" s="218" customFormat="1" ht="123.75" customHeight="1" x14ac:dyDescent="0.9">
      <c r="B25" s="207"/>
      <c r="C25" s="207"/>
      <c r="D25" s="207"/>
      <c r="E25" s="215">
        <v>6</v>
      </c>
      <c r="F25" s="216">
        <v>5</v>
      </c>
      <c r="G25" s="216">
        <f t="shared" si="1"/>
        <v>30</v>
      </c>
      <c r="H25" s="209"/>
      <c r="I25" s="217"/>
      <c r="J25" s="207"/>
      <c r="K25" s="207"/>
    </row>
    <row r="26" spans="2:11" s="218" customFormat="1" ht="123.75" customHeight="1" x14ac:dyDescent="0.9">
      <c r="B26" s="207"/>
      <c r="C26" s="207"/>
      <c r="D26" s="207"/>
      <c r="E26" s="215">
        <v>26</v>
      </c>
      <c r="F26" s="216">
        <v>1</v>
      </c>
      <c r="G26" s="216">
        <f t="shared" si="1"/>
        <v>26</v>
      </c>
      <c r="H26" s="209"/>
      <c r="I26" s="217"/>
      <c r="J26" s="207"/>
      <c r="K26" s="207"/>
    </row>
    <row r="27" spans="2:11" s="218" customFormat="1" ht="123.75" customHeight="1" x14ac:dyDescent="0.9">
      <c r="B27" s="207"/>
      <c r="C27" s="207"/>
      <c r="D27" s="207"/>
      <c r="E27" s="215"/>
      <c r="F27" s="216" t="s">
        <v>283</v>
      </c>
      <c r="G27" s="216">
        <f>SUM(G20:G26)</f>
        <v>336326</v>
      </c>
      <c r="H27" s="209"/>
      <c r="I27" s="217"/>
      <c r="J27" s="207"/>
      <c r="K27" s="207"/>
    </row>
    <row r="28" spans="2:11" s="218" customFormat="1" ht="123.75" customHeight="1" x14ac:dyDescent="0.9">
      <c r="B28" s="207"/>
      <c r="C28" s="207"/>
      <c r="D28" s="207"/>
      <c r="E28" s="215"/>
      <c r="F28" s="216" t="s">
        <v>282</v>
      </c>
      <c r="G28" s="216">
        <f>D17</f>
        <v>336323</v>
      </c>
      <c r="H28" s="209"/>
      <c r="I28" s="217"/>
      <c r="J28" s="207"/>
      <c r="K28" s="207"/>
    </row>
    <row r="29" spans="2:11" s="218" customFormat="1" ht="123.75" customHeight="1" x14ac:dyDescent="0.9">
      <c r="B29" s="207"/>
      <c r="C29" s="207"/>
      <c r="D29" s="207"/>
      <c r="E29" s="215"/>
      <c r="F29" s="216" t="s">
        <v>284</v>
      </c>
      <c r="G29" s="216">
        <f>+G27-G28</f>
        <v>3</v>
      </c>
      <c r="H29" s="209"/>
      <c r="I29" s="217"/>
      <c r="J29" s="207"/>
      <c r="K29" s="207"/>
    </row>
  </sheetData>
  <mergeCells count="2">
    <mergeCell ref="E17:G17"/>
    <mergeCell ref="E18:G18"/>
  </mergeCells>
  <conditionalFormatting sqref="A2">
    <cfRule type="cellIs" dxfId="190" priority="8" operator="equal">
      <formula>#REF!</formula>
    </cfRule>
  </conditionalFormatting>
  <conditionalFormatting sqref="A4">
    <cfRule type="cellIs" dxfId="189" priority="6" operator="equal">
      <formula>#REF!</formula>
    </cfRule>
  </conditionalFormatting>
  <conditionalFormatting sqref="A6 A8 A10 A12">
    <cfRule type="cellIs" dxfId="188" priority="1" operator="equal">
      <formula>#REF!</formula>
    </cfRule>
  </conditionalFormatting>
  <conditionalFormatting sqref="A14">
    <cfRule type="cellIs" dxfId="187" priority="4" operator="equal">
      <formula>#REF!</formula>
    </cfRule>
  </conditionalFormatting>
  <conditionalFormatting sqref="B1:B2 B15:B29">
    <cfRule type="cellIs" dxfId="186" priority="11" operator="equal">
      <formula>#REF!</formula>
    </cfRule>
  </conditionalFormatting>
  <conditionalFormatting sqref="B3">
    <cfRule type="cellIs" dxfId="185" priority="9" operator="equal">
      <formula>#REF!</formula>
    </cfRule>
  </conditionalFormatting>
  <conditionalFormatting sqref="B4:B14">
    <cfRule type="cellIs" dxfId="184" priority="2" operator="equal">
      <formula>#REF!</formula>
    </cfRule>
  </conditionalFormatting>
  <conditionalFormatting sqref="D1:E1">
    <cfRule type="duplicateValues" dxfId="183" priority="10"/>
  </conditionalFormatting>
  <printOptions horizontalCentered="1" verticalCentered="1"/>
  <pageMargins left="0.7" right="0.7" top="0.75" bottom="0.75" header="0.3" footer="0.3"/>
  <pageSetup paperSize="9" scale="14" fitToHeight="2" orientation="landscape" r:id="rId1"/>
  <rowBreaks count="1" manualBreakCount="1">
    <brk id="13" min="1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0"/>
  <sheetViews>
    <sheetView rightToLeft="1" view="pageBreakPreview" zoomScale="25" zoomScaleNormal="25" zoomScaleSheetLayoutView="25" workbookViewId="0">
      <pane ySplit="1" topLeftCell="A13" activePane="bottomLeft" state="frozen"/>
      <selection activeCell="B1" sqref="B1"/>
      <selection pane="bottomLeft" activeCell="F17" sqref="A1:K30"/>
    </sheetView>
  </sheetViews>
  <sheetFormatPr defaultColWidth="9" defaultRowHeight="46.5" x14ac:dyDescent="0.7"/>
  <cols>
    <col min="1" max="1" width="12.42578125" style="153" hidden="1" customWidth="1"/>
    <col min="2" max="2" width="55.5703125" style="153" customWidth="1"/>
    <col min="3" max="3" width="50.140625" style="153" bestFit="1" customWidth="1"/>
    <col min="4" max="4" width="66.42578125" style="153" bestFit="1" customWidth="1"/>
    <col min="5" max="5" width="71.28515625" style="153" bestFit="1" customWidth="1"/>
    <col min="6" max="6" width="73.85546875" style="153" bestFit="1" customWidth="1"/>
    <col min="7" max="7" width="102.7109375" style="153" customWidth="1"/>
    <col min="8" max="8" width="76.140625" style="153" customWidth="1"/>
    <col min="9" max="9" width="111.42578125" style="153" customWidth="1"/>
    <col min="10" max="10" width="166.42578125" style="153" customWidth="1"/>
    <col min="11" max="11" width="75.140625" style="153" customWidth="1"/>
    <col min="12" max="16384" width="9" style="153"/>
  </cols>
  <sheetData>
    <row r="1" spans="1:11" ht="185.25" customHeight="1" thickBot="1" x14ac:dyDescent="0.75">
      <c r="A1" s="112"/>
      <c r="B1" s="202" t="s">
        <v>132</v>
      </c>
      <c r="C1" s="203" t="s">
        <v>1</v>
      </c>
      <c r="D1" s="204" t="s">
        <v>86</v>
      </c>
      <c r="E1" s="204" t="s">
        <v>163</v>
      </c>
      <c r="F1" s="205" t="s">
        <v>2</v>
      </c>
      <c r="G1" s="205" t="s">
        <v>3</v>
      </c>
      <c r="H1" s="205" t="s">
        <v>4</v>
      </c>
      <c r="I1" s="204" t="s">
        <v>92</v>
      </c>
      <c r="J1" s="204" t="s">
        <v>6</v>
      </c>
      <c r="K1" s="204" t="s">
        <v>7</v>
      </c>
    </row>
    <row r="2" spans="1:11" ht="180" customHeight="1" x14ac:dyDescent="0.7">
      <c r="A2" s="206" t="s">
        <v>114</v>
      </c>
      <c r="B2" s="207"/>
      <c r="C2" s="208"/>
      <c r="D2" s="207"/>
      <c r="E2" s="207"/>
      <c r="F2" s="209"/>
      <c r="G2" s="209"/>
      <c r="H2" s="210">
        <v>336323</v>
      </c>
      <c r="I2" s="210" t="s">
        <v>129</v>
      </c>
      <c r="J2" s="207"/>
      <c r="K2" s="207"/>
    </row>
    <row r="3" spans="1:11" ht="180" customHeight="1" x14ac:dyDescent="0.7">
      <c r="A3" s="207" t="s">
        <v>113</v>
      </c>
      <c r="B3" s="206" t="s">
        <v>114</v>
      </c>
      <c r="C3" s="211">
        <v>45216</v>
      </c>
      <c r="D3" s="206"/>
      <c r="E3" s="206" t="s">
        <v>297</v>
      </c>
      <c r="F3" s="212">
        <v>650000</v>
      </c>
      <c r="G3" s="212"/>
      <c r="H3" s="212">
        <f>+H2+F3-G3</f>
        <v>986323</v>
      </c>
      <c r="I3" s="206" t="s">
        <v>324</v>
      </c>
      <c r="J3" s="206" t="s">
        <v>325</v>
      </c>
      <c r="K3" s="206"/>
    </row>
    <row r="4" spans="1:11" ht="180" customHeight="1" x14ac:dyDescent="0.7">
      <c r="A4" s="206"/>
      <c r="B4" s="207" t="s">
        <v>113</v>
      </c>
      <c r="C4" s="208">
        <v>45216</v>
      </c>
      <c r="D4" s="207">
        <v>1610</v>
      </c>
      <c r="E4" s="207"/>
      <c r="F4" s="209"/>
      <c r="G4" s="209">
        <v>30000</v>
      </c>
      <c r="H4" s="210">
        <f t="shared" ref="H4:H15" si="0">+H3+F4-G4</f>
        <v>956323</v>
      </c>
      <c r="I4" s="210" t="s">
        <v>69</v>
      </c>
      <c r="J4" s="207" t="s">
        <v>326</v>
      </c>
      <c r="K4" s="207"/>
    </row>
    <row r="5" spans="1:11" ht="180" customHeight="1" x14ac:dyDescent="0.7">
      <c r="A5" s="207"/>
      <c r="B5" s="206" t="s">
        <v>113</v>
      </c>
      <c r="C5" s="211">
        <v>45216</v>
      </c>
      <c r="D5" s="206">
        <v>1611</v>
      </c>
      <c r="E5" s="206"/>
      <c r="F5" s="212"/>
      <c r="G5" s="212">
        <v>80000</v>
      </c>
      <c r="H5" s="212">
        <f t="shared" si="0"/>
        <v>876323</v>
      </c>
      <c r="I5" s="206" t="s">
        <v>327</v>
      </c>
      <c r="J5" s="206" t="s">
        <v>328</v>
      </c>
      <c r="K5" s="206"/>
    </row>
    <row r="6" spans="1:11" ht="180" customHeight="1" x14ac:dyDescent="0.7">
      <c r="A6" s="206"/>
      <c r="B6" s="207" t="s">
        <v>113</v>
      </c>
      <c r="C6" s="208">
        <v>45216</v>
      </c>
      <c r="D6" s="207">
        <v>1612</v>
      </c>
      <c r="E6" s="207"/>
      <c r="F6" s="209"/>
      <c r="G6" s="209">
        <v>2600</v>
      </c>
      <c r="H6" s="210">
        <f t="shared" si="0"/>
        <v>873723</v>
      </c>
      <c r="I6" s="210" t="s">
        <v>329</v>
      </c>
      <c r="J6" s="207" t="s">
        <v>330</v>
      </c>
      <c r="K6" s="207"/>
    </row>
    <row r="7" spans="1:11" ht="180" customHeight="1" x14ac:dyDescent="0.7">
      <c r="A7" s="207"/>
      <c r="B7" s="206" t="s">
        <v>113</v>
      </c>
      <c r="C7" s="211">
        <v>45216</v>
      </c>
      <c r="D7" s="206">
        <v>1613</v>
      </c>
      <c r="E7" s="206"/>
      <c r="F7" s="212"/>
      <c r="G7" s="212">
        <v>2740</v>
      </c>
      <c r="H7" s="212">
        <f t="shared" si="0"/>
        <v>870983</v>
      </c>
      <c r="I7" s="206" t="s">
        <v>226</v>
      </c>
      <c r="J7" s="214" t="s">
        <v>331</v>
      </c>
      <c r="K7" s="206"/>
    </row>
    <row r="8" spans="1:11" ht="180" customHeight="1" x14ac:dyDescent="0.7">
      <c r="A8" s="206"/>
      <c r="B8" s="207" t="s">
        <v>113</v>
      </c>
      <c r="C8" s="208">
        <v>45216</v>
      </c>
      <c r="D8" s="207">
        <v>1614</v>
      </c>
      <c r="E8" s="207"/>
      <c r="F8" s="209"/>
      <c r="G8" s="209">
        <v>450</v>
      </c>
      <c r="H8" s="210">
        <f t="shared" si="0"/>
        <v>870533</v>
      </c>
      <c r="I8" s="210" t="s">
        <v>332</v>
      </c>
      <c r="J8" s="207" t="s">
        <v>333</v>
      </c>
      <c r="K8" s="207"/>
    </row>
    <row r="9" spans="1:11" ht="180" customHeight="1" x14ac:dyDescent="0.7">
      <c r="A9" s="207"/>
      <c r="B9" s="206" t="s">
        <v>113</v>
      </c>
      <c r="C9" s="211">
        <v>45216</v>
      </c>
      <c r="D9" s="206">
        <v>1615</v>
      </c>
      <c r="E9" s="206"/>
      <c r="F9" s="212"/>
      <c r="G9" s="212">
        <v>17000</v>
      </c>
      <c r="H9" s="212">
        <f t="shared" si="0"/>
        <v>853533</v>
      </c>
      <c r="I9" s="206" t="s">
        <v>335</v>
      </c>
      <c r="J9" s="206" t="s">
        <v>334</v>
      </c>
      <c r="K9" s="206"/>
    </row>
    <row r="10" spans="1:11" ht="180" customHeight="1" x14ac:dyDescent="0.7">
      <c r="A10" s="206"/>
      <c r="B10" s="207" t="s">
        <v>113</v>
      </c>
      <c r="C10" s="208">
        <v>45216</v>
      </c>
      <c r="D10" s="207">
        <v>1616</v>
      </c>
      <c r="E10" s="207"/>
      <c r="F10" s="209"/>
      <c r="G10" s="209">
        <v>500</v>
      </c>
      <c r="H10" s="210">
        <f t="shared" si="0"/>
        <v>853033</v>
      </c>
      <c r="I10" s="210" t="s">
        <v>336</v>
      </c>
      <c r="J10" s="207" t="s">
        <v>224</v>
      </c>
      <c r="K10" s="207"/>
    </row>
    <row r="11" spans="1:11" ht="180" customHeight="1" x14ac:dyDescent="0.7">
      <c r="A11" s="207"/>
      <c r="B11" s="206" t="s">
        <v>113</v>
      </c>
      <c r="C11" s="211">
        <v>45216</v>
      </c>
      <c r="D11" s="206">
        <v>1617</v>
      </c>
      <c r="E11" s="206"/>
      <c r="F11" s="212"/>
      <c r="G11" s="212">
        <v>150</v>
      </c>
      <c r="H11" s="212">
        <f t="shared" si="0"/>
        <v>852883</v>
      </c>
      <c r="I11" s="206" t="s">
        <v>225</v>
      </c>
      <c r="J11" s="206" t="s">
        <v>224</v>
      </c>
      <c r="K11" s="206"/>
    </row>
    <row r="12" spans="1:11" ht="180" customHeight="1" x14ac:dyDescent="0.7">
      <c r="A12" s="206"/>
      <c r="B12" s="207" t="s">
        <v>113</v>
      </c>
      <c r="C12" s="208">
        <v>45216</v>
      </c>
      <c r="D12" s="207">
        <v>1618</v>
      </c>
      <c r="E12" s="207"/>
      <c r="F12" s="209"/>
      <c r="G12" s="209">
        <v>450</v>
      </c>
      <c r="H12" s="210">
        <f t="shared" si="0"/>
        <v>852433</v>
      </c>
      <c r="I12" s="210" t="s">
        <v>332</v>
      </c>
      <c r="J12" s="207" t="s">
        <v>337</v>
      </c>
      <c r="K12" s="207"/>
    </row>
    <row r="13" spans="1:11" ht="180" customHeight="1" x14ac:dyDescent="0.7">
      <c r="A13" s="207"/>
      <c r="B13" s="206" t="s">
        <v>113</v>
      </c>
      <c r="C13" s="211">
        <v>45216</v>
      </c>
      <c r="D13" s="206" t="s">
        <v>338</v>
      </c>
      <c r="E13" s="206"/>
      <c r="F13" s="212"/>
      <c r="G13" s="260">
        <v>1600</v>
      </c>
      <c r="H13" s="260">
        <f t="shared" si="0"/>
        <v>850833</v>
      </c>
      <c r="I13" s="261" t="s">
        <v>332</v>
      </c>
      <c r="J13" s="206" t="s">
        <v>224</v>
      </c>
      <c r="K13" s="206"/>
    </row>
    <row r="14" spans="1:11" ht="180" customHeight="1" x14ac:dyDescent="0.7">
      <c r="A14" s="206"/>
      <c r="B14" s="207" t="s">
        <v>113</v>
      </c>
      <c r="C14" s="208"/>
      <c r="D14" s="207"/>
      <c r="E14" s="207"/>
      <c r="F14" s="209">
        <v>1341</v>
      </c>
      <c r="G14" s="209"/>
      <c r="H14" s="210">
        <f t="shared" si="0"/>
        <v>852174</v>
      </c>
      <c r="I14" s="210" t="s">
        <v>339</v>
      </c>
      <c r="J14" s="207"/>
      <c r="K14" s="207"/>
    </row>
    <row r="15" spans="1:11" ht="180" customHeight="1" thickBot="1" x14ac:dyDescent="0.75">
      <c r="A15" s="207"/>
      <c r="B15" s="206" t="s">
        <v>113</v>
      </c>
      <c r="C15" s="211"/>
      <c r="D15" s="206"/>
      <c r="E15" s="206"/>
      <c r="F15" s="212">
        <v>1229</v>
      </c>
      <c r="G15" s="212"/>
      <c r="H15" s="212">
        <f t="shared" si="0"/>
        <v>853403</v>
      </c>
      <c r="I15" s="206" t="s">
        <v>340</v>
      </c>
      <c r="J15" s="206"/>
      <c r="K15" s="206"/>
    </row>
    <row r="16" spans="1:11" ht="154.5" customHeight="1" thickTop="1" x14ac:dyDescent="0.7">
      <c r="B16" s="170"/>
      <c r="C16" s="109" t="s">
        <v>127</v>
      </c>
      <c r="D16" s="110" t="s">
        <v>115</v>
      </c>
      <c r="E16" s="110" t="s">
        <v>179</v>
      </c>
      <c r="F16" s="110" t="s">
        <v>116</v>
      </c>
      <c r="G16" s="100" t="s">
        <v>180</v>
      </c>
      <c r="H16" s="111" t="s">
        <v>211</v>
      </c>
      <c r="I16" s="175"/>
      <c r="J16" s="176"/>
      <c r="K16" s="176"/>
    </row>
    <row r="17" spans="2:11" ht="157.5" customHeight="1" thickBot="1" x14ac:dyDescent="0.75">
      <c r="B17" s="181"/>
      <c r="C17" s="102">
        <f>$H$2</f>
        <v>336323</v>
      </c>
      <c r="D17" s="103">
        <f>SUMIF(B3:B15,$A$3,F3:F$15)</f>
        <v>2570</v>
      </c>
      <c r="E17" s="103">
        <f>SUMIF(B2:B13,A3,G2:$G$13)</f>
        <v>135490</v>
      </c>
      <c r="F17" s="103">
        <f>SUMIF(B2:B13,A2,F2:$F$13)</f>
        <v>650000</v>
      </c>
      <c r="G17" s="103">
        <f>SUMIF(B2:B13,A2,G2:$G$13)</f>
        <v>0</v>
      </c>
      <c r="H17" s="104">
        <f>+C17+D17+F17-E17-G17</f>
        <v>853403</v>
      </c>
      <c r="I17" s="184"/>
      <c r="J17" s="105"/>
      <c r="K17" s="105"/>
    </row>
    <row r="18" spans="2:11" ht="165" customHeight="1" thickTop="1" x14ac:dyDescent="0.7">
      <c r="B18" s="161"/>
      <c r="C18" s="161"/>
      <c r="D18" s="219">
        <f>+C17+D17-E17</f>
        <v>203403</v>
      </c>
      <c r="E18" s="562" t="s">
        <v>181</v>
      </c>
      <c r="F18" s="562"/>
      <c r="G18" s="562"/>
      <c r="H18" s="163"/>
      <c r="I18" s="164"/>
      <c r="J18" s="161"/>
      <c r="K18" s="161"/>
    </row>
    <row r="19" spans="2:11" ht="108.75" customHeight="1" x14ac:dyDescent="0.7">
      <c r="B19" s="181"/>
      <c r="C19" s="181"/>
      <c r="D19" s="182"/>
      <c r="E19" s="563" t="s">
        <v>278</v>
      </c>
      <c r="F19" s="563"/>
      <c r="G19" s="563"/>
      <c r="H19" s="183"/>
      <c r="I19" s="184"/>
      <c r="J19" s="181"/>
      <c r="K19" s="181"/>
    </row>
    <row r="20" spans="2:11" ht="108.75" customHeight="1" x14ac:dyDescent="0.7">
      <c r="B20" s="181"/>
      <c r="C20" s="181"/>
      <c r="D20" s="182"/>
      <c r="E20" s="185" t="s">
        <v>279</v>
      </c>
      <c r="F20" s="185" t="s">
        <v>280</v>
      </c>
      <c r="G20" s="185" t="s">
        <v>281</v>
      </c>
      <c r="H20" s="183"/>
      <c r="I20" s="184"/>
      <c r="J20" s="181"/>
      <c r="K20" s="181"/>
    </row>
    <row r="21" spans="2:11" s="218" customFormat="1" ht="123.75" customHeight="1" x14ac:dyDescent="0.9">
      <c r="B21" s="207"/>
      <c r="C21" s="207"/>
      <c r="D21" s="207"/>
      <c r="E21" s="215">
        <v>1016</v>
      </c>
      <c r="F21" s="216">
        <v>200</v>
      </c>
      <c r="G21" s="216">
        <f>+F21*E21</f>
        <v>203200</v>
      </c>
      <c r="H21" s="209"/>
      <c r="I21" s="217"/>
      <c r="J21" s="207"/>
      <c r="K21" s="207"/>
    </row>
    <row r="22" spans="2:11" s="218" customFormat="1" ht="123.75" customHeight="1" x14ac:dyDescent="0.9">
      <c r="B22" s="207"/>
      <c r="C22" s="207"/>
      <c r="D22" s="207"/>
      <c r="E22" s="215">
        <v>2</v>
      </c>
      <c r="F22" s="216">
        <v>100</v>
      </c>
      <c r="G22" s="216">
        <f t="shared" ref="G22:G27" si="1">+F22*E22</f>
        <v>200</v>
      </c>
      <c r="H22" s="209"/>
      <c r="I22" s="217"/>
      <c r="J22" s="207"/>
      <c r="K22" s="207"/>
    </row>
    <row r="23" spans="2:11" s="218" customFormat="1" ht="123.75" customHeight="1" x14ac:dyDescent="0.9">
      <c r="B23" s="207"/>
      <c r="C23" s="207"/>
      <c r="D23" s="207"/>
      <c r="E23" s="215"/>
      <c r="F23" s="216">
        <v>50</v>
      </c>
      <c r="G23" s="216">
        <f t="shared" si="1"/>
        <v>0</v>
      </c>
      <c r="H23" s="209"/>
      <c r="I23" s="217"/>
      <c r="J23" s="207"/>
      <c r="K23" s="207"/>
    </row>
    <row r="24" spans="2:11" s="218" customFormat="1" ht="123.75" customHeight="1" x14ac:dyDescent="0.9">
      <c r="B24" s="207"/>
      <c r="C24" s="207"/>
      <c r="D24" s="207"/>
      <c r="E24" s="215"/>
      <c r="F24" s="216">
        <v>20</v>
      </c>
      <c r="G24" s="216">
        <f t="shared" si="1"/>
        <v>0</v>
      </c>
      <c r="H24" s="209"/>
      <c r="I24" s="217"/>
      <c r="J24" s="207"/>
      <c r="K24" s="207"/>
    </row>
    <row r="25" spans="2:11" s="218" customFormat="1" ht="123.75" customHeight="1" x14ac:dyDescent="0.9">
      <c r="B25" s="207"/>
      <c r="C25" s="207"/>
      <c r="D25" s="207"/>
      <c r="E25" s="215"/>
      <c r="F25" s="216">
        <v>10</v>
      </c>
      <c r="G25" s="216">
        <f t="shared" si="1"/>
        <v>0</v>
      </c>
      <c r="H25" s="209"/>
      <c r="I25" s="217"/>
      <c r="J25" s="207"/>
      <c r="K25" s="207"/>
    </row>
    <row r="26" spans="2:11" s="218" customFormat="1" ht="123.75" customHeight="1" x14ac:dyDescent="0.9">
      <c r="B26" s="207"/>
      <c r="C26" s="207"/>
      <c r="D26" s="207"/>
      <c r="E26" s="215"/>
      <c r="F26" s="216">
        <v>5</v>
      </c>
      <c r="G26" s="216">
        <f t="shared" si="1"/>
        <v>0</v>
      </c>
      <c r="H26" s="209"/>
      <c r="I26" s="217"/>
      <c r="J26" s="207"/>
      <c r="K26" s="207"/>
    </row>
    <row r="27" spans="2:11" s="218" customFormat="1" ht="123.75" customHeight="1" x14ac:dyDescent="0.9">
      <c r="B27" s="207"/>
      <c r="C27" s="207"/>
      <c r="D27" s="207"/>
      <c r="E27" s="215">
        <v>28</v>
      </c>
      <c r="F27" s="216">
        <v>1</v>
      </c>
      <c r="G27" s="216">
        <f t="shared" si="1"/>
        <v>28</v>
      </c>
      <c r="H27" s="209"/>
      <c r="I27" s="217"/>
      <c r="J27" s="207"/>
      <c r="K27" s="207"/>
    </row>
    <row r="28" spans="2:11" s="218" customFormat="1" ht="123.75" customHeight="1" x14ac:dyDescent="0.9">
      <c r="B28" s="207"/>
      <c r="C28" s="207"/>
      <c r="D28" s="207"/>
      <c r="E28" s="215"/>
      <c r="F28" s="216" t="s">
        <v>283</v>
      </c>
      <c r="G28" s="216">
        <f>SUM(G21:G27)</f>
        <v>203428</v>
      </c>
      <c r="H28" s="209"/>
      <c r="I28" s="217"/>
      <c r="J28" s="207"/>
      <c r="K28" s="207"/>
    </row>
    <row r="29" spans="2:11" s="218" customFormat="1" ht="123.75" customHeight="1" x14ac:dyDescent="0.9">
      <c r="B29" s="207"/>
      <c r="C29" s="207"/>
      <c r="D29" s="207"/>
      <c r="E29" s="215"/>
      <c r="F29" s="216" t="s">
        <v>282</v>
      </c>
      <c r="G29" s="216">
        <f>D18</f>
        <v>203403</v>
      </c>
      <c r="H29" s="209"/>
      <c r="I29" s="217"/>
      <c r="J29" s="207"/>
      <c r="K29" s="207"/>
    </row>
    <row r="30" spans="2:11" s="218" customFormat="1" ht="123.75" customHeight="1" x14ac:dyDescent="0.9">
      <c r="B30" s="207"/>
      <c r="C30" s="207"/>
      <c r="D30" s="207"/>
      <c r="E30" s="215"/>
      <c r="F30" s="216" t="s">
        <v>284</v>
      </c>
      <c r="G30" s="216">
        <f>+G28-G29</f>
        <v>25</v>
      </c>
      <c r="H30" s="209"/>
      <c r="I30" s="217"/>
      <c r="J30" s="207"/>
      <c r="K30" s="207"/>
    </row>
  </sheetData>
  <mergeCells count="2">
    <mergeCell ref="E18:G18"/>
    <mergeCell ref="E19:G19"/>
  </mergeCells>
  <conditionalFormatting sqref="A2">
    <cfRule type="cellIs" dxfId="182" priority="11" operator="equal">
      <formula>#REF!</formula>
    </cfRule>
  </conditionalFormatting>
  <conditionalFormatting sqref="A4">
    <cfRule type="cellIs" dxfId="181" priority="9" operator="equal">
      <formula>#REF!</formula>
    </cfRule>
  </conditionalFormatting>
  <conditionalFormatting sqref="A6 A8 A10 A12">
    <cfRule type="cellIs" dxfId="180" priority="4" operator="equal">
      <formula>#REF!</formula>
    </cfRule>
  </conditionalFormatting>
  <conditionalFormatting sqref="A14">
    <cfRule type="cellIs" dxfId="179" priority="1" operator="equal">
      <formula>#REF!</formula>
    </cfRule>
  </conditionalFormatting>
  <conditionalFormatting sqref="B1:B2 B16:B30">
    <cfRule type="cellIs" dxfId="178" priority="14" operator="equal">
      <formula>#REF!</formula>
    </cfRule>
  </conditionalFormatting>
  <conditionalFormatting sqref="B3">
    <cfRule type="cellIs" dxfId="177" priority="12" operator="equal">
      <formula>#REF!</formula>
    </cfRule>
  </conditionalFormatting>
  <conditionalFormatting sqref="B4:B15">
    <cfRule type="cellIs" dxfId="176" priority="2" operator="equal">
      <formula>#REF!</formula>
    </cfRule>
  </conditionalFormatting>
  <conditionalFormatting sqref="D1:E1">
    <cfRule type="duplicateValues" dxfId="175" priority="13"/>
  </conditionalFormatting>
  <printOptions horizontalCentered="1" verticalCentered="1"/>
  <pageMargins left="0.7" right="0.7" top="0.75" bottom="0.75" header="0.3" footer="0.3"/>
  <pageSetup paperSize="9" scale="14" fitToHeight="2" orientation="landscape" r:id="rId1"/>
  <rowBreaks count="1" manualBreakCount="1">
    <brk id="18" min="1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30"/>
  <sheetViews>
    <sheetView rightToLeft="1" view="pageBreakPreview" topLeftCell="B1" zoomScale="15" zoomScaleNormal="25" zoomScaleSheetLayoutView="15" workbookViewId="0">
      <pane ySplit="1" topLeftCell="A7" activePane="bottomLeft" state="frozen"/>
      <selection activeCell="B1" sqref="B1"/>
      <selection pane="bottomLeft" activeCell="I12" sqref="I12"/>
    </sheetView>
  </sheetViews>
  <sheetFormatPr defaultColWidth="9" defaultRowHeight="46.5" x14ac:dyDescent="0.7"/>
  <cols>
    <col min="1" max="1" width="12.42578125" style="153" hidden="1" customWidth="1"/>
    <col min="2" max="2" width="55.5703125" style="153" customWidth="1"/>
    <col min="3" max="3" width="80.140625" style="153" bestFit="1" customWidth="1"/>
    <col min="4" max="4" width="66.42578125" style="153" customWidth="1"/>
    <col min="5" max="5" width="71.42578125" style="153" bestFit="1" customWidth="1"/>
    <col min="6" max="6" width="74" style="153" bestFit="1" customWidth="1"/>
    <col min="7" max="7" width="102.7109375" style="153" customWidth="1"/>
    <col min="8" max="8" width="76.140625" style="153" customWidth="1"/>
    <col min="9" max="9" width="113" style="153" customWidth="1"/>
    <col min="10" max="10" width="166.42578125" style="153" customWidth="1"/>
    <col min="11" max="11" width="75.140625" style="153" customWidth="1"/>
    <col min="12" max="16384" width="9" style="153"/>
  </cols>
  <sheetData>
    <row r="1" spans="1:11" ht="185.25" customHeight="1" thickBot="1" x14ac:dyDescent="0.75">
      <c r="A1" s="112"/>
      <c r="B1" s="220" t="s">
        <v>132</v>
      </c>
      <c r="C1" s="221" t="s">
        <v>1</v>
      </c>
      <c r="D1" s="222" t="s">
        <v>86</v>
      </c>
      <c r="E1" s="222" t="s">
        <v>163</v>
      </c>
      <c r="F1" s="223" t="s">
        <v>2</v>
      </c>
      <c r="G1" s="223" t="s">
        <v>3</v>
      </c>
      <c r="H1" s="223" t="s">
        <v>4</v>
      </c>
      <c r="I1" s="222" t="s">
        <v>92</v>
      </c>
      <c r="J1" s="222" t="s">
        <v>6</v>
      </c>
      <c r="K1" s="222" t="s">
        <v>7</v>
      </c>
    </row>
    <row r="2" spans="1:11" ht="180" customHeight="1" x14ac:dyDescent="0.7">
      <c r="A2" s="206" t="s">
        <v>114</v>
      </c>
      <c r="B2" s="207"/>
      <c r="C2" s="208"/>
      <c r="D2" s="207"/>
      <c r="E2" s="207"/>
      <c r="F2" s="209"/>
      <c r="G2" s="209"/>
      <c r="H2" s="210">
        <v>203403</v>
      </c>
      <c r="I2" s="210" t="s">
        <v>129</v>
      </c>
      <c r="J2" s="207"/>
      <c r="K2" s="207"/>
    </row>
    <row r="3" spans="1:11" ht="180" customHeight="1" x14ac:dyDescent="0.7">
      <c r="A3" s="207" t="s">
        <v>113</v>
      </c>
      <c r="B3" s="206" t="s">
        <v>113</v>
      </c>
      <c r="C3" s="211">
        <v>45217</v>
      </c>
      <c r="D3" s="206">
        <v>1619</v>
      </c>
      <c r="E3" s="206"/>
      <c r="F3" s="212"/>
      <c r="G3" s="212">
        <v>50000</v>
      </c>
      <c r="H3" s="212">
        <f>+H2+F3-G3</f>
        <v>153403</v>
      </c>
      <c r="I3" s="206" t="s">
        <v>235</v>
      </c>
      <c r="J3" s="224" t="s">
        <v>77</v>
      </c>
      <c r="K3" s="206"/>
    </row>
    <row r="4" spans="1:11" ht="180" customHeight="1" x14ac:dyDescent="0.7">
      <c r="A4" s="206"/>
      <c r="B4" s="207" t="s">
        <v>114</v>
      </c>
      <c r="C4" s="208">
        <v>45217</v>
      </c>
      <c r="D4" s="207"/>
      <c r="E4" s="207" t="s">
        <v>297</v>
      </c>
      <c r="F4" s="209">
        <v>500000</v>
      </c>
      <c r="G4" s="209"/>
      <c r="H4" s="210">
        <f t="shared" ref="H4:H14" si="0">+H3+F4-G4</f>
        <v>653403</v>
      </c>
      <c r="I4" s="210" t="s">
        <v>341</v>
      </c>
      <c r="J4" s="217" t="s">
        <v>342</v>
      </c>
      <c r="K4" s="207"/>
    </row>
    <row r="5" spans="1:11" ht="180" customHeight="1" x14ac:dyDescent="0.7">
      <c r="A5" s="207"/>
      <c r="B5" s="206" t="s">
        <v>114</v>
      </c>
      <c r="C5" s="211">
        <v>45217</v>
      </c>
      <c r="D5" s="206"/>
      <c r="E5" s="206">
        <v>1187</v>
      </c>
      <c r="F5" s="212">
        <v>50000</v>
      </c>
      <c r="G5" s="212"/>
      <c r="H5" s="212">
        <f t="shared" si="0"/>
        <v>703403</v>
      </c>
      <c r="I5" s="206" t="s">
        <v>341</v>
      </c>
      <c r="J5" s="224" t="s">
        <v>343</v>
      </c>
      <c r="K5" s="206"/>
    </row>
    <row r="6" spans="1:11" ht="180" customHeight="1" x14ac:dyDescent="0.7">
      <c r="A6" s="206"/>
      <c r="B6" s="207" t="s">
        <v>113</v>
      </c>
      <c r="C6" s="208">
        <v>45217</v>
      </c>
      <c r="D6" s="207"/>
      <c r="E6" s="207">
        <v>1188</v>
      </c>
      <c r="F6" s="209">
        <v>77000</v>
      </c>
      <c r="G6" s="209"/>
      <c r="H6" s="210">
        <f t="shared" si="0"/>
        <v>780403</v>
      </c>
      <c r="I6" s="210" t="s">
        <v>344</v>
      </c>
      <c r="J6" s="217" t="s">
        <v>345</v>
      </c>
      <c r="K6" s="207"/>
    </row>
    <row r="7" spans="1:11" ht="180" customHeight="1" x14ac:dyDescent="0.7">
      <c r="A7" s="207"/>
      <c r="B7" s="206" t="s">
        <v>114</v>
      </c>
      <c r="C7" s="211">
        <v>45217</v>
      </c>
      <c r="D7" s="206"/>
      <c r="E7" s="206" t="s">
        <v>297</v>
      </c>
      <c r="F7" s="212">
        <v>643500</v>
      </c>
      <c r="G7" s="212"/>
      <c r="H7" s="212">
        <f t="shared" si="0"/>
        <v>1423903</v>
      </c>
      <c r="I7" s="206" t="s">
        <v>346</v>
      </c>
      <c r="J7" s="225" t="s">
        <v>347</v>
      </c>
      <c r="K7" s="206"/>
    </row>
    <row r="8" spans="1:11" ht="180" customHeight="1" x14ac:dyDescent="0.7">
      <c r="A8" s="206"/>
      <c r="B8" s="207" t="s">
        <v>113</v>
      </c>
      <c r="C8" s="208">
        <v>45217</v>
      </c>
      <c r="D8" s="207">
        <v>1620</v>
      </c>
      <c r="E8" s="207"/>
      <c r="F8" s="209"/>
      <c r="G8" s="209">
        <v>1000</v>
      </c>
      <c r="H8" s="210">
        <f t="shared" si="0"/>
        <v>1422903</v>
      </c>
      <c r="I8" s="210" t="s">
        <v>225</v>
      </c>
      <c r="J8" s="217" t="s">
        <v>224</v>
      </c>
      <c r="K8" s="207"/>
    </row>
    <row r="9" spans="1:11" ht="180" customHeight="1" x14ac:dyDescent="0.7">
      <c r="A9" s="207"/>
      <c r="B9" s="206" t="s">
        <v>113</v>
      </c>
      <c r="C9" s="211">
        <v>45217</v>
      </c>
      <c r="D9" s="206">
        <v>1621</v>
      </c>
      <c r="E9" s="206"/>
      <c r="F9" s="212"/>
      <c r="G9" s="212">
        <v>9460</v>
      </c>
      <c r="H9" s="212">
        <f t="shared" si="0"/>
        <v>1413443</v>
      </c>
      <c r="I9" s="206" t="s">
        <v>152</v>
      </c>
      <c r="J9" s="225" t="s">
        <v>348</v>
      </c>
      <c r="K9" s="206"/>
    </row>
    <row r="10" spans="1:11" ht="180" customHeight="1" x14ac:dyDescent="0.7">
      <c r="A10" s="206"/>
      <c r="B10" s="207" t="s">
        <v>113</v>
      </c>
      <c r="C10" s="208">
        <v>45217</v>
      </c>
      <c r="D10" s="207">
        <v>1622</v>
      </c>
      <c r="E10" s="207"/>
      <c r="F10" s="209"/>
      <c r="G10" s="209">
        <v>1000</v>
      </c>
      <c r="H10" s="212">
        <f t="shared" si="0"/>
        <v>1412443</v>
      </c>
      <c r="I10" s="210" t="s">
        <v>349</v>
      </c>
      <c r="J10" s="217" t="s">
        <v>350</v>
      </c>
      <c r="K10" s="207"/>
    </row>
    <row r="11" spans="1:11" ht="180" customHeight="1" x14ac:dyDescent="0.7">
      <c r="A11" s="206"/>
      <c r="B11" s="207" t="s">
        <v>114</v>
      </c>
      <c r="C11" s="208"/>
      <c r="D11" s="207"/>
      <c r="E11" s="207"/>
      <c r="F11" s="209">
        <v>600000</v>
      </c>
      <c r="G11" s="209"/>
      <c r="H11" s="212">
        <f t="shared" si="0"/>
        <v>2012443</v>
      </c>
      <c r="I11" s="210" t="s">
        <v>203</v>
      </c>
      <c r="J11" s="217"/>
      <c r="K11" s="207"/>
    </row>
    <row r="12" spans="1:11" ht="180" customHeight="1" x14ac:dyDescent="0.7">
      <c r="A12" s="207"/>
      <c r="B12" s="206" t="s">
        <v>114</v>
      </c>
      <c r="C12" s="211">
        <v>45217</v>
      </c>
      <c r="D12" s="206">
        <v>1623</v>
      </c>
      <c r="E12" s="206"/>
      <c r="F12" s="212"/>
      <c r="G12" s="212">
        <v>600000</v>
      </c>
      <c r="H12" s="212">
        <f t="shared" si="0"/>
        <v>1412443</v>
      </c>
      <c r="I12" s="206" t="s">
        <v>351</v>
      </c>
      <c r="J12" s="225" t="s">
        <v>352</v>
      </c>
      <c r="K12" s="206"/>
    </row>
    <row r="13" spans="1:11" ht="180" customHeight="1" x14ac:dyDescent="0.7">
      <c r="A13" s="206"/>
      <c r="B13" s="207" t="s">
        <v>113</v>
      </c>
      <c r="C13" s="208">
        <v>45217</v>
      </c>
      <c r="D13" s="207">
        <v>1624</v>
      </c>
      <c r="E13" s="207"/>
      <c r="F13" s="209"/>
      <c r="G13" s="209">
        <v>1000</v>
      </c>
      <c r="H13" s="212">
        <f t="shared" si="0"/>
        <v>1411443</v>
      </c>
      <c r="I13" s="210" t="s">
        <v>223</v>
      </c>
      <c r="J13" s="217" t="s">
        <v>224</v>
      </c>
      <c r="K13" s="207"/>
    </row>
    <row r="14" spans="1:11" ht="180" customHeight="1" x14ac:dyDescent="0.7">
      <c r="A14" s="207"/>
      <c r="B14" s="206" t="s">
        <v>113</v>
      </c>
      <c r="C14" s="211">
        <v>45217</v>
      </c>
      <c r="D14" s="206"/>
      <c r="E14" s="206"/>
      <c r="F14" s="212">
        <v>1299</v>
      </c>
      <c r="G14" s="212"/>
      <c r="H14" s="212">
        <f t="shared" si="0"/>
        <v>1412742</v>
      </c>
      <c r="I14" s="206" t="s">
        <v>353</v>
      </c>
      <c r="J14" s="225"/>
      <c r="K14" s="206"/>
    </row>
    <row r="15" spans="1:11" ht="42" customHeight="1" thickBot="1" x14ac:dyDescent="0.75">
      <c r="A15" s="207"/>
      <c r="B15" s="206"/>
      <c r="C15" s="211"/>
      <c r="D15" s="206"/>
      <c r="E15" s="206"/>
      <c r="F15" s="212"/>
      <c r="G15" s="212"/>
      <c r="H15" s="212"/>
      <c r="I15" s="206"/>
      <c r="J15" s="225"/>
      <c r="K15" s="206"/>
    </row>
    <row r="16" spans="1:11" ht="184.5" customHeight="1" thickTop="1" x14ac:dyDescent="0.7">
      <c r="B16" s="170"/>
      <c r="C16" s="239" t="s">
        <v>127</v>
      </c>
      <c r="D16" s="240" t="s">
        <v>115</v>
      </c>
      <c r="E16" s="240" t="s">
        <v>179</v>
      </c>
      <c r="F16" s="240" t="s">
        <v>116</v>
      </c>
      <c r="G16" s="241" t="s">
        <v>180</v>
      </c>
      <c r="H16" s="242" t="s">
        <v>211</v>
      </c>
      <c r="I16" s="175"/>
      <c r="J16" s="176"/>
      <c r="K16" s="176"/>
    </row>
    <row r="17" spans="2:11" ht="184.5" customHeight="1" thickBot="1" x14ac:dyDescent="0.75">
      <c r="B17" s="181"/>
      <c r="C17" s="243">
        <f>$H$2</f>
        <v>203403</v>
      </c>
      <c r="D17" s="244">
        <f>SUMIF(B3:B14,$A$3,F3:F$14)</f>
        <v>78299</v>
      </c>
      <c r="E17" s="244">
        <f>SUMIF(B2:B14,A3,G2:$G$14)</f>
        <v>62460</v>
      </c>
      <c r="F17" s="244">
        <f>SUMIF(B2:B14,A2,F2:$F$14)</f>
        <v>1793500</v>
      </c>
      <c r="G17" s="244">
        <f>SUMIF(B2:B14,A2,G2:$G$14)</f>
        <v>600000</v>
      </c>
      <c r="H17" s="245">
        <f>+C17+D17+F17-E17-G17</f>
        <v>1412742</v>
      </c>
      <c r="I17" s="184"/>
      <c r="J17" s="105"/>
      <c r="K17" s="105"/>
    </row>
    <row r="18" spans="2:11" ht="222" customHeight="1" thickTop="1" x14ac:dyDescent="0.7">
      <c r="B18" s="161"/>
      <c r="C18" s="161"/>
      <c r="D18" s="219">
        <f>+C17+D17-E17</f>
        <v>219242</v>
      </c>
      <c r="E18" s="564" t="s">
        <v>181</v>
      </c>
      <c r="F18" s="564"/>
      <c r="G18" s="564"/>
      <c r="H18" s="163"/>
      <c r="I18" s="164"/>
      <c r="J18" s="161"/>
      <c r="K18" s="161"/>
    </row>
    <row r="19" spans="2:11" s="218" customFormat="1" ht="117.75" customHeight="1" x14ac:dyDescent="0.9">
      <c r="B19" s="207"/>
      <c r="C19" s="207"/>
      <c r="D19" s="226"/>
      <c r="E19" s="565" t="s">
        <v>278</v>
      </c>
      <c r="F19" s="565"/>
      <c r="G19" s="565"/>
      <c r="H19" s="209"/>
      <c r="I19" s="217"/>
      <c r="J19" s="207"/>
      <c r="K19" s="207"/>
    </row>
    <row r="20" spans="2:11" s="218" customFormat="1" ht="117.75" customHeight="1" x14ac:dyDescent="0.9">
      <c r="B20" s="207"/>
      <c r="C20" s="207"/>
      <c r="D20" s="226"/>
      <c r="E20" s="227" t="s">
        <v>279</v>
      </c>
      <c r="F20" s="227" t="s">
        <v>280</v>
      </c>
      <c r="G20" s="227" t="s">
        <v>281</v>
      </c>
      <c r="H20" s="209"/>
      <c r="I20" s="217"/>
      <c r="J20" s="207"/>
      <c r="K20" s="207"/>
    </row>
    <row r="21" spans="2:11" s="218" customFormat="1" ht="123.75" customHeight="1" x14ac:dyDescent="0.9">
      <c r="B21" s="207"/>
      <c r="C21" s="207"/>
      <c r="D21" s="207"/>
      <c r="E21" s="215">
        <v>784</v>
      </c>
      <c r="F21" s="216">
        <v>200</v>
      </c>
      <c r="G21" s="216">
        <f>+F21*E21</f>
        <v>156800</v>
      </c>
      <c r="H21" s="209"/>
      <c r="I21" s="217"/>
      <c r="J21" s="207"/>
      <c r="K21" s="207"/>
    </row>
    <row r="22" spans="2:11" s="218" customFormat="1" ht="123.75" customHeight="1" x14ac:dyDescent="0.9">
      <c r="B22" s="207"/>
      <c r="C22" s="207"/>
      <c r="D22" s="207"/>
      <c r="E22" s="215">
        <v>610</v>
      </c>
      <c r="F22" s="216">
        <v>100</v>
      </c>
      <c r="G22" s="216">
        <f t="shared" ref="G22:G27" si="1">+F22*E22</f>
        <v>61000</v>
      </c>
      <c r="H22" s="209"/>
      <c r="I22" s="217"/>
      <c r="J22" s="207"/>
      <c r="K22" s="207"/>
    </row>
    <row r="23" spans="2:11" s="218" customFormat="1" ht="123.75" customHeight="1" x14ac:dyDescent="0.9">
      <c r="B23" s="207"/>
      <c r="C23" s="207"/>
      <c r="D23" s="207"/>
      <c r="E23" s="215">
        <v>19</v>
      </c>
      <c r="F23" s="216">
        <v>50</v>
      </c>
      <c r="G23" s="216">
        <f t="shared" si="1"/>
        <v>950</v>
      </c>
      <c r="H23" s="209"/>
      <c r="I23" s="217"/>
      <c r="J23" s="207"/>
      <c r="K23" s="207"/>
    </row>
    <row r="24" spans="2:11" s="218" customFormat="1" ht="123.75" customHeight="1" x14ac:dyDescent="0.9">
      <c r="B24" s="207"/>
      <c r="C24" s="207"/>
      <c r="D24" s="207"/>
      <c r="E24" s="215">
        <v>9</v>
      </c>
      <c r="F24" s="216">
        <v>20</v>
      </c>
      <c r="G24" s="216">
        <f t="shared" si="1"/>
        <v>180</v>
      </c>
      <c r="H24" s="209"/>
      <c r="I24" s="217"/>
      <c r="J24" s="207"/>
      <c r="K24" s="207"/>
    </row>
    <row r="25" spans="2:11" s="218" customFormat="1" ht="123.75" customHeight="1" x14ac:dyDescent="0.9">
      <c r="B25" s="207"/>
      <c r="C25" s="207"/>
      <c r="D25" s="207"/>
      <c r="E25" s="215">
        <v>22</v>
      </c>
      <c r="F25" s="216">
        <v>10</v>
      </c>
      <c r="G25" s="216">
        <f t="shared" si="1"/>
        <v>220</v>
      </c>
      <c r="H25" s="209"/>
      <c r="I25" s="217"/>
      <c r="J25" s="207"/>
      <c r="K25" s="207"/>
    </row>
    <row r="26" spans="2:11" s="218" customFormat="1" ht="123.75" customHeight="1" x14ac:dyDescent="0.9">
      <c r="B26" s="207"/>
      <c r="C26" s="207"/>
      <c r="D26" s="207"/>
      <c r="E26" s="215">
        <v>9</v>
      </c>
      <c r="F26" s="216">
        <v>5</v>
      </c>
      <c r="G26" s="216">
        <f t="shared" si="1"/>
        <v>45</v>
      </c>
      <c r="H26" s="209"/>
      <c r="I26" s="217"/>
      <c r="J26" s="207"/>
      <c r="K26" s="207"/>
    </row>
    <row r="27" spans="2:11" s="218" customFormat="1" ht="123.75" customHeight="1" thickBot="1" x14ac:dyDescent="0.95">
      <c r="B27" s="207"/>
      <c r="C27" s="207"/>
      <c r="D27" s="207"/>
      <c r="E27" s="229">
        <v>28</v>
      </c>
      <c r="F27" s="230">
        <v>1</v>
      </c>
      <c r="G27" s="230">
        <f t="shared" si="1"/>
        <v>28</v>
      </c>
      <c r="H27" s="209"/>
      <c r="I27" s="217"/>
      <c r="J27" s="207"/>
      <c r="K27" s="207"/>
    </row>
    <row r="28" spans="2:11" s="218" customFormat="1" ht="123.75" customHeight="1" x14ac:dyDescent="0.9">
      <c r="B28" s="207"/>
      <c r="C28" s="207"/>
      <c r="D28" s="207"/>
      <c r="E28" s="231"/>
      <c r="F28" s="232" t="s">
        <v>283</v>
      </c>
      <c r="G28" s="233">
        <f>SUM(G21:G27)</f>
        <v>219223</v>
      </c>
      <c r="H28" s="209"/>
      <c r="I28" s="217"/>
      <c r="J28" s="207"/>
      <c r="K28" s="207"/>
    </row>
    <row r="29" spans="2:11" s="218" customFormat="1" ht="123.75" customHeight="1" x14ac:dyDescent="0.9">
      <c r="B29" s="207"/>
      <c r="C29" s="207"/>
      <c r="D29" s="207"/>
      <c r="E29" s="234"/>
      <c r="F29" s="228" t="s">
        <v>282</v>
      </c>
      <c r="G29" s="235">
        <f>D18</f>
        <v>219242</v>
      </c>
      <c r="H29" s="209"/>
      <c r="I29" s="217"/>
      <c r="J29" s="207"/>
      <c r="K29" s="207"/>
    </row>
    <row r="30" spans="2:11" s="218" customFormat="1" ht="123.75" customHeight="1" thickBot="1" x14ac:dyDescent="0.95">
      <c r="B30" s="207"/>
      <c r="C30" s="207"/>
      <c r="D30" s="207"/>
      <c r="E30" s="236"/>
      <c r="F30" s="237" t="s">
        <v>284</v>
      </c>
      <c r="G30" s="238">
        <f>+G28-G29</f>
        <v>-19</v>
      </c>
      <c r="H30" s="209"/>
      <c r="I30" s="217"/>
      <c r="J30" s="207"/>
      <c r="K30" s="207"/>
    </row>
  </sheetData>
  <mergeCells count="2">
    <mergeCell ref="E18:G18"/>
    <mergeCell ref="E19:G19"/>
  </mergeCells>
  <conditionalFormatting sqref="A2">
    <cfRule type="cellIs" dxfId="174" priority="17" operator="equal">
      <formula>#REF!</formula>
    </cfRule>
  </conditionalFormatting>
  <conditionalFormatting sqref="A4">
    <cfRule type="cellIs" dxfId="173" priority="15" operator="equal">
      <formula>#REF!</formula>
    </cfRule>
  </conditionalFormatting>
  <conditionalFormatting sqref="A6">
    <cfRule type="cellIs" dxfId="172" priority="12" operator="equal">
      <formula>#REF!</formula>
    </cfRule>
  </conditionalFormatting>
  <conditionalFormatting sqref="A8 A10:A11 A13">
    <cfRule type="cellIs" dxfId="171" priority="1" operator="equal">
      <formula>#REF!</formula>
    </cfRule>
  </conditionalFormatting>
  <conditionalFormatting sqref="B1:B2 B16:B30">
    <cfRule type="cellIs" dxfId="170" priority="20" operator="equal">
      <formula>#REF!</formula>
    </cfRule>
  </conditionalFormatting>
  <conditionalFormatting sqref="B3">
    <cfRule type="cellIs" dxfId="169" priority="18" operator="equal">
      <formula>#REF!</formula>
    </cfRule>
  </conditionalFormatting>
  <conditionalFormatting sqref="B4:B15">
    <cfRule type="cellIs" dxfId="168" priority="2" operator="equal">
      <formula>#REF!</formula>
    </cfRule>
  </conditionalFormatting>
  <conditionalFormatting sqref="D1:E1">
    <cfRule type="duplicateValues" dxfId="167" priority="19"/>
  </conditionalFormatting>
  <printOptions horizontalCentered="1" verticalCentered="1"/>
  <pageMargins left="0.7" right="0.7" top="0.75" bottom="0.75" header="0.3" footer="0.3"/>
  <pageSetup paperSize="9" scale="13" fitToHeight="2" orientation="landscape" r:id="rId1"/>
  <rowBreaks count="1" manualBreakCount="1">
    <brk id="18" min="1" max="1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5"/>
  <sheetViews>
    <sheetView rightToLeft="1" view="pageBreakPreview" topLeftCell="B1" zoomScale="15" zoomScaleNormal="25" zoomScaleSheetLayoutView="15" workbookViewId="0">
      <pane ySplit="1" topLeftCell="A13" activePane="bottomLeft" state="frozen"/>
      <selection activeCell="B1" sqref="B1"/>
      <selection pane="bottomLeft" activeCell="F22" sqref="A1:K35"/>
    </sheetView>
  </sheetViews>
  <sheetFormatPr defaultColWidth="9" defaultRowHeight="46.5" x14ac:dyDescent="0.7"/>
  <cols>
    <col min="1" max="1" width="12.42578125" style="153" hidden="1" customWidth="1"/>
    <col min="2" max="2" width="55.5703125" style="153" customWidth="1"/>
    <col min="3" max="3" width="80.140625" style="153" bestFit="1" customWidth="1"/>
    <col min="4" max="4" width="89.28515625" style="153" bestFit="1" customWidth="1"/>
    <col min="5" max="5" width="71.42578125" style="153" bestFit="1" customWidth="1"/>
    <col min="6" max="6" width="104" style="153" customWidth="1"/>
    <col min="7" max="7" width="102.7109375" style="153" customWidth="1"/>
    <col min="8" max="8" width="107" style="153" customWidth="1"/>
    <col min="9" max="9" width="125.5703125" style="153" customWidth="1"/>
    <col min="10" max="10" width="187.28515625" style="153" customWidth="1"/>
    <col min="11" max="11" width="75.140625" style="153" customWidth="1"/>
    <col min="12" max="16384" width="9" style="153"/>
  </cols>
  <sheetData>
    <row r="1" spans="1:11" s="250" customFormat="1" ht="225" customHeight="1" thickBot="1" x14ac:dyDescent="1.4">
      <c r="A1" s="129"/>
      <c r="B1" s="246" t="s">
        <v>132</v>
      </c>
      <c r="C1" s="247" t="s">
        <v>1</v>
      </c>
      <c r="D1" s="248" t="s">
        <v>86</v>
      </c>
      <c r="E1" s="248" t="s">
        <v>163</v>
      </c>
      <c r="F1" s="249" t="s">
        <v>2</v>
      </c>
      <c r="G1" s="249" t="s">
        <v>3</v>
      </c>
      <c r="H1" s="249" t="s">
        <v>4</v>
      </c>
      <c r="I1" s="248" t="s">
        <v>92</v>
      </c>
      <c r="J1" s="248" t="s">
        <v>6</v>
      </c>
      <c r="K1" s="248" t="s">
        <v>7</v>
      </c>
    </row>
    <row r="2" spans="1:11" ht="180" customHeight="1" x14ac:dyDescent="0.7">
      <c r="A2" s="206" t="s">
        <v>114</v>
      </c>
      <c r="B2" s="207"/>
      <c r="C2" s="208"/>
      <c r="D2" s="207"/>
      <c r="E2" s="207"/>
      <c r="F2" s="209"/>
      <c r="G2" s="209"/>
      <c r="H2" s="210">
        <v>219242</v>
      </c>
      <c r="I2" s="210" t="s">
        <v>129</v>
      </c>
      <c r="J2" s="207"/>
      <c r="K2" s="207"/>
    </row>
    <row r="3" spans="1:11" ht="180" customHeight="1" x14ac:dyDescent="0.7">
      <c r="A3" s="207" t="s">
        <v>113</v>
      </c>
      <c r="B3" s="206" t="s">
        <v>113</v>
      </c>
      <c r="C3" s="211">
        <v>45218</v>
      </c>
      <c r="D3" s="206">
        <v>1625</v>
      </c>
      <c r="E3" s="206"/>
      <c r="F3" s="212"/>
      <c r="G3" s="212">
        <v>500</v>
      </c>
      <c r="H3" s="212">
        <f>+H2+F3-G3</f>
        <v>218742</v>
      </c>
      <c r="I3" s="206" t="s">
        <v>354</v>
      </c>
      <c r="J3" s="224" t="s">
        <v>355</v>
      </c>
      <c r="K3" s="206"/>
    </row>
    <row r="4" spans="1:11" ht="180" customHeight="1" x14ac:dyDescent="0.7">
      <c r="A4" s="206"/>
      <c r="B4" s="207" t="s">
        <v>113</v>
      </c>
      <c r="C4" s="208">
        <v>45218</v>
      </c>
      <c r="D4" s="207">
        <v>1626</v>
      </c>
      <c r="E4" s="207"/>
      <c r="F4" s="209"/>
      <c r="G4" s="209">
        <v>20000</v>
      </c>
      <c r="H4" s="210">
        <f t="shared" ref="H4:H19" si="0">+H3+F4-G4</f>
        <v>198742</v>
      </c>
      <c r="I4" s="210" t="s">
        <v>69</v>
      </c>
      <c r="J4" s="217" t="s">
        <v>316</v>
      </c>
      <c r="K4" s="207"/>
    </row>
    <row r="5" spans="1:11" ht="180" customHeight="1" x14ac:dyDescent="0.7">
      <c r="A5" s="207"/>
      <c r="B5" s="206" t="s">
        <v>113</v>
      </c>
      <c r="C5" s="211">
        <v>45218</v>
      </c>
      <c r="D5" s="206">
        <v>1627</v>
      </c>
      <c r="E5" s="206"/>
      <c r="F5" s="212"/>
      <c r="G5" s="212">
        <v>50000</v>
      </c>
      <c r="H5" s="212">
        <f t="shared" si="0"/>
        <v>148742</v>
      </c>
      <c r="I5" s="206" t="s">
        <v>356</v>
      </c>
      <c r="J5" s="224" t="s">
        <v>357</v>
      </c>
      <c r="K5" s="206"/>
    </row>
    <row r="6" spans="1:11" ht="180" customHeight="1" x14ac:dyDescent="0.7">
      <c r="A6" s="206"/>
      <c r="B6" s="207" t="s">
        <v>113</v>
      </c>
      <c r="C6" s="208">
        <v>45218</v>
      </c>
      <c r="D6" s="207">
        <v>1628</v>
      </c>
      <c r="E6" s="207"/>
      <c r="F6" s="209"/>
      <c r="G6" s="209">
        <v>4240</v>
      </c>
      <c r="H6" s="210">
        <f t="shared" si="0"/>
        <v>144502</v>
      </c>
      <c r="I6" s="210" t="s">
        <v>152</v>
      </c>
      <c r="J6" s="217" t="s">
        <v>358</v>
      </c>
      <c r="K6" s="207"/>
    </row>
    <row r="7" spans="1:11" ht="180" customHeight="1" x14ac:dyDescent="0.7">
      <c r="A7" s="207"/>
      <c r="B7" s="206" t="s">
        <v>113</v>
      </c>
      <c r="C7" s="211">
        <v>45218</v>
      </c>
      <c r="D7" s="206"/>
      <c r="E7" s="206">
        <v>1189</v>
      </c>
      <c r="F7" s="212">
        <v>108000</v>
      </c>
      <c r="G7" s="212"/>
      <c r="H7" s="212">
        <f t="shared" si="0"/>
        <v>252502</v>
      </c>
      <c r="I7" s="206" t="s">
        <v>359</v>
      </c>
      <c r="J7" s="225" t="s">
        <v>360</v>
      </c>
      <c r="K7" s="206"/>
    </row>
    <row r="8" spans="1:11" ht="180" customHeight="1" x14ac:dyDescent="0.7">
      <c r="A8" s="206"/>
      <c r="B8" s="207" t="s">
        <v>113</v>
      </c>
      <c r="C8" s="208">
        <v>45218</v>
      </c>
      <c r="D8" s="207"/>
      <c r="E8" s="207"/>
      <c r="F8" s="209">
        <v>643500</v>
      </c>
      <c r="G8" s="209"/>
      <c r="H8" s="210">
        <f t="shared" si="0"/>
        <v>896002</v>
      </c>
      <c r="I8" s="210" t="s">
        <v>203</v>
      </c>
      <c r="J8" s="217"/>
      <c r="K8" s="207"/>
    </row>
    <row r="9" spans="1:11" ht="180" customHeight="1" x14ac:dyDescent="0.7">
      <c r="A9" s="207"/>
      <c r="B9" s="206" t="s">
        <v>113</v>
      </c>
      <c r="C9" s="211">
        <v>45218</v>
      </c>
      <c r="D9" s="206"/>
      <c r="E9" s="206"/>
      <c r="F9" s="212">
        <v>490000</v>
      </c>
      <c r="G9" s="212"/>
      <c r="H9" s="212">
        <f t="shared" si="0"/>
        <v>1386002</v>
      </c>
      <c r="I9" s="206" t="s">
        <v>361</v>
      </c>
      <c r="J9" s="225" t="s">
        <v>371</v>
      </c>
      <c r="K9" s="206"/>
    </row>
    <row r="10" spans="1:11" ht="180" customHeight="1" x14ac:dyDescent="0.7">
      <c r="A10" s="206"/>
      <c r="B10" s="207" t="s">
        <v>113</v>
      </c>
      <c r="C10" s="208">
        <v>45218</v>
      </c>
      <c r="D10" s="207">
        <v>1629</v>
      </c>
      <c r="E10" s="207"/>
      <c r="F10" s="209"/>
      <c r="G10" s="209">
        <v>50000</v>
      </c>
      <c r="H10" s="210">
        <f t="shared" si="0"/>
        <v>1336002</v>
      </c>
      <c r="I10" s="210" t="s">
        <v>235</v>
      </c>
      <c r="J10" s="217" t="s">
        <v>316</v>
      </c>
      <c r="K10" s="207"/>
    </row>
    <row r="11" spans="1:11" ht="180" customHeight="1" x14ac:dyDescent="0.7">
      <c r="A11" s="207"/>
      <c r="B11" s="206" t="s">
        <v>113</v>
      </c>
      <c r="C11" s="211">
        <v>45218</v>
      </c>
      <c r="D11" s="206">
        <v>1630</v>
      </c>
      <c r="E11" s="206"/>
      <c r="F11" s="212"/>
      <c r="G11" s="212">
        <v>2100</v>
      </c>
      <c r="H11" s="212">
        <f t="shared" si="0"/>
        <v>1333902</v>
      </c>
      <c r="I11" s="206" t="s">
        <v>362</v>
      </c>
      <c r="J11" s="225" t="s">
        <v>363</v>
      </c>
      <c r="K11" s="206"/>
    </row>
    <row r="12" spans="1:11" ht="180" customHeight="1" x14ac:dyDescent="0.7">
      <c r="A12" s="206"/>
      <c r="B12" s="207" t="s">
        <v>113</v>
      </c>
      <c r="C12" s="208">
        <v>45218</v>
      </c>
      <c r="D12" s="207">
        <v>1631</v>
      </c>
      <c r="E12" s="207"/>
      <c r="F12" s="209"/>
      <c r="G12" s="209">
        <v>5000</v>
      </c>
      <c r="H12" s="210">
        <f t="shared" si="0"/>
        <v>1328902</v>
      </c>
      <c r="I12" s="210" t="s">
        <v>199</v>
      </c>
      <c r="J12" s="217" t="s">
        <v>318</v>
      </c>
      <c r="K12" s="207"/>
    </row>
    <row r="13" spans="1:11" ht="180" customHeight="1" x14ac:dyDescent="0.7">
      <c r="A13" s="207"/>
      <c r="B13" s="206" t="s">
        <v>113</v>
      </c>
      <c r="C13" s="211">
        <v>45218</v>
      </c>
      <c r="D13" s="206">
        <v>1632</v>
      </c>
      <c r="E13" s="206"/>
      <c r="F13" s="212"/>
      <c r="G13" s="212">
        <v>100000</v>
      </c>
      <c r="H13" s="212">
        <f t="shared" si="0"/>
        <v>1228902</v>
      </c>
      <c r="I13" s="206" t="s">
        <v>364</v>
      </c>
      <c r="J13" s="225" t="s">
        <v>365</v>
      </c>
      <c r="K13" s="206"/>
    </row>
    <row r="14" spans="1:11" ht="180" customHeight="1" x14ac:dyDescent="0.7">
      <c r="A14" s="206"/>
      <c r="B14" s="207" t="s">
        <v>113</v>
      </c>
      <c r="C14" s="208">
        <v>45218</v>
      </c>
      <c r="D14" s="207">
        <v>1633</v>
      </c>
      <c r="E14" s="207"/>
      <c r="F14" s="209"/>
      <c r="G14" s="209">
        <v>500</v>
      </c>
      <c r="H14" s="210">
        <f t="shared" si="0"/>
        <v>1228402</v>
      </c>
      <c r="I14" s="210" t="s">
        <v>254</v>
      </c>
      <c r="J14" s="217" t="s">
        <v>224</v>
      </c>
      <c r="K14" s="207"/>
    </row>
    <row r="15" spans="1:11" ht="180" customHeight="1" x14ac:dyDescent="0.7">
      <c r="A15" s="207"/>
      <c r="B15" s="206" t="s">
        <v>113</v>
      </c>
      <c r="C15" s="211">
        <v>45218</v>
      </c>
      <c r="D15" s="206">
        <v>1634</v>
      </c>
      <c r="E15" s="206"/>
      <c r="F15" s="212"/>
      <c r="G15" s="212">
        <v>30000</v>
      </c>
      <c r="H15" s="212">
        <f t="shared" si="0"/>
        <v>1198402</v>
      </c>
      <c r="I15" s="206" t="s">
        <v>366</v>
      </c>
      <c r="J15" s="225" t="s">
        <v>318</v>
      </c>
      <c r="K15" s="206"/>
    </row>
    <row r="16" spans="1:11" ht="180" customHeight="1" x14ac:dyDescent="0.7">
      <c r="A16" s="206"/>
      <c r="B16" s="207" t="s">
        <v>114</v>
      </c>
      <c r="C16" s="208">
        <v>45218</v>
      </c>
      <c r="D16" s="207"/>
      <c r="E16" s="207">
        <v>1190</v>
      </c>
      <c r="F16" s="209">
        <v>50000</v>
      </c>
      <c r="G16" s="209"/>
      <c r="H16" s="210">
        <f t="shared" si="0"/>
        <v>1248402</v>
      </c>
      <c r="I16" s="210" t="s">
        <v>367</v>
      </c>
      <c r="J16" s="217" t="s">
        <v>368</v>
      </c>
      <c r="K16" s="207"/>
    </row>
    <row r="17" spans="1:11" ht="180" customHeight="1" x14ac:dyDescent="0.7">
      <c r="A17" s="207"/>
      <c r="B17" s="206" t="s">
        <v>114</v>
      </c>
      <c r="C17" s="211">
        <v>45218</v>
      </c>
      <c r="D17" s="206"/>
      <c r="E17" s="206">
        <v>1191</v>
      </c>
      <c r="F17" s="212">
        <v>0</v>
      </c>
      <c r="G17" s="212"/>
      <c r="H17" s="212">
        <f t="shared" si="0"/>
        <v>1248402</v>
      </c>
      <c r="I17" s="206" t="s">
        <v>369</v>
      </c>
      <c r="J17" s="225" t="s">
        <v>370</v>
      </c>
      <c r="K17" s="206" t="s">
        <v>372</v>
      </c>
    </row>
    <row r="18" spans="1:11" ht="180" customHeight="1" x14ac:dyDescent="0.7">
      <c r="A18" s="206"/>
      <c r="B18" s="207" t="s">
        <v>113</v>
      </c>
      <c r="C18" s="208">
        <v>45218</v>
      </c>
      <c r="D18" s="207"/>
      <c r="E18" s="207"/>
      <c r="F18" s="209">
        <v>1340</v>
      </c>
      <c r="G18" s="209"/>
      <c r="H18" s="210">
        <f t="shared" si="0"/>
        <v>1249742</v>
      </c>
      <c r="I18" s="210" t="s">
        <v>128</v>
      </c>
      <c r="J18" s="217"/>
      <c r="K18" s="207"/>
    </row>
    <row r="19" spans="1:11" ht="180" customHeight="1" x14ac:dyDescent="0.7">
      <c r="A19" s="207"/>
      <c r="B19" s="206"/>
      <c r="C19" s="211">
        <v>45218</v>
      </c>
      <c r="D19" s="206"/>
      <c r="E19" s="206"/>
      <c r="F19" s="212"/>
      <c r="G19" s="212"/>
      <c r="H19" s="212">
        <f t="shared" si="0"/>
        <v>1249742</v>
      </c>
      <c r="I19" s="206"/>
      <c r="J19" s="225"/>
      <c r="K19" s="206"/>
    </row>
    <row r="20" spans="1:11" ht="42" customHeight="1" thickBot="1" x14ac:dyDescent="0.75">
      <c r="A20" s="207"/>
      <c r="B20" s="206"/>
      <c r="C20" s="211"/>
      <c r="D20" s="206"/>
      <c r="E20" s="206"/>
      <c r="F20" s="212"/>
      <c r="G20" s="212"/>
      <c r="H20" s="212"/>
      <c r="I20" s="206"/>
      <c r="J20" s="225"/>
      <c r="K20" s="206"/>
    </row>
    <row r="21" spans="1:11" ht="184.5" customHeight="1" thickTop="1" x14ac:dyDescent="0.7">
      <c r="B21" s="170"/>
      <c r="C21" s="239" t="s">
        <v>127</v>
      </c>
      <c r="D21" s="240" t="s">
        <v>115</v>
      </c>
      <c r="E21" s="240" t="s">
        <v>179</v>
      </c>
      <c r="F21" s="240" t="s">
        <v>116</v>
      </c>
      <c r="G21" s="241" t="s">
        <v>180</v>
      </c>
      <c r="H21" s="242" t="s">
        <v>211</v>
      </c>
      <c r="I21" s="175"/>
      <c r="J21" s="176"/>
      <c r="K21" s="176"/>
    </row>
    <row r="22" spans="1:11" ht="184.5" customHeight="1" thickBot="1" x14ac:dyDescent="0.75">
      <c r="B22" s="181"/>
      <c r="C22" s="243">
        <f>$H$2</f>
        <v>219242</v>
      </c>
      <c r="D22" s="244">
        <f>SUMIF(B3:B19,$A$3,F3:F$19)</f>
        <v>1242840</v>
      </c>
      <c r="E22" s="244">
        <f>SUMIF(B2:B19,A3,G2:$G$19)</f>
        <v>262340</v>
      </c>
      <c r="F22" s="244">
        <f>SUMIF(B2:B19,A2,F2:$F$19)</f>
        <v>50000</v>
      </c>
      <c r="G22" s="244">
        <f>SUMIF(B2:B19,A2,G2:$G$19)</f>
        <v>0</v>
      </c>
      <c r="H22" s="245">
        <f>+C22+D22+F22-E22-G22</f>
        <v>1249742</v>
      </c>
      <c r="I22" s="184"/>
      <c r="J22" s="105"/>
      <c r="K22" s="105"/>
    </row>
    <row r="23" spans="1:11" ht="222" customHeight="1" thickTop="1" x14ac:dyDescent="0.7">
      <c r="B23" s="161"/>
      <c r="C23" s="161"/>
      <c r="D23" s="251">
        <f>+C22+D22-E22</f>
        <v>1199742</v>
      </c>
      <c r="E23" s="564" t="s">
        <v>181</v>
      </c>
      <c r="F23" s="564"/>
      <c r="G23" s="564"/>
      <c r="H23" s="163"/>
      <c r="I23" s="164"/>
      <c r="J23" s="161"/>
      <c r="K23" s="161"/>
    </row>
    <row r="24" spans="1:11" s="218" customFormat="1" ht="117.75" customHeight="1" x14ac:dyDescent="0.9">
      <c r="B24" s="207"/>
      <c r="C24" s="207"/>
      <c r="D24" s="226"/>
      <c r="E24" s="565" t="s">
        <v>278</v>
      </c>
      <c r="F24" s="565"/>
      <c r="G24" s="565"/>
      <c r="H24" s="209"/>
      <c r="I24" s="217"/>
      <c r="J24" s="207"/>
      <c r="K24" s="207"/>
    </row>
    <row r="25" spans="1:11" s="218" customFormat="1" ht="117.75" customHeight="1" x14ac:dyDescent="0.9">
      <c r="B25" s="207"/>
      <c r="C25" s="207"/>
      <c r="D25" s="226"/>
      <c r="E25" s="227" t="s">
        <v>279</v>
      </c>
      <c r="F25" s="227" t="s">
        <v>280</v>
      </c>
      <c r="G25" s="227" t="s">
        <v>281</v>
      </c>
      <c r="H25" s="209"/>
      <c r="I25" s="217"/>
      <c r="J25" s="207"/>
      <c r="K25" s="207"/>
    </row>
    <row r="26" spans="1:11" s="218" customFormat="1" ht="123.75" customHeight="1" x14ac:dyDescent="0.9">
      <c r="B26" s="207"/>
      <c r="C26" s="207"/>
      <c r="D26" s="207"/>
      <c r="E26" s="215">
        <v>2880</v>
      </c>
      <c r="F26" s="216">
        <v>200</v>
      </c>
      <c r="G26" s="216">
        <f>+F26*E26</f>
        <v>576000</v>
      </c>
      <c r="H26" s="209"/>
      <c r="I26" s="217"/>
      <c r="J26" s="207"/>
      <c r="K26" s="207"/>
    </row>
    <row r="27" spans="1:11" s="218" customFormat="1" ht="123.75" customHeight="1" x14ac:dyDescent="0.9">
      <c r="B27" s="207"/>
      <c r="C27" s="207"/>
      <c r="D27" s="207"/>
      <c r="E27" s="215">
        <v>5967</v>
      </c>
      <c r="F27" s="216">
        <v>100</v>
      </c>
      <c r="G27" s="216">
        <f t="shared" ref="G27:G32" si="1">+F27*E27</f>
        <v>596700</v>
      </c>
      <c r="H27" s="209"/>
      <c r="I27" s="217"/>
      <c r="J27" s="207"/>
      <c r="K27" s="207"/>
    </row>
    <row r="28" spans="1:11" s="218" customFormat="1" ht="123.75" customHeight="1" x14ac:dyDescent="0.9">
      <c r="B28" s="207"/>
      <c r="C28" s="207"/>
      <c r="D28" s="207"/>
      <c r="E28" s="215">
        <v>528</v>
      </c>
      <c r="F28" s="216">
        <v>50</v>
      </c>
      <c r="G28" s="216">
        <f t="shared" si="1"/>
        <v>26400</v>
      </c>
      <c r="H28" s="209"/>
      <c r="I28" s="217"/>
      <c r="J28" s="207"/>
      <c r="K28" s="207"/>
    </row>
    <row r="29" spans="1:11" s="218" customFormat="1" ht="123.75" customHeight="1" x14ac:dyDescent="0.9">
      <c r="B29" s="207"/>
      <c r="C29" s="207"/>
      <c r="D29" s="207"/>
      <c r="E29" s="215">
        <v>10</v>
      </c>
      <c r="F29" s="216">
        <v>20</v>
      </c>
      <c r="G29" s="216">
        <f t="shared" si="1"/>
        <v>200</v>
      </c>
      <c r="H29" s="209"/>
      <c r="I29" s="217"/>
      <c r="J29" s="207"/>
      <c r="K29" s="207"/>
    </row>
    <row r="30" spans="1:11" s="218" customFormat="1" ht="123.75" customHeight="1" x14ac:dyDescent="0.9">
      <c r="B30" s="207"/>
      <c r="C30" s="207"/>
      <c r="D30" s="207"/>
      <c r="E30" s="215">
        <v>28</v>
      </c>
      <c r="F30" s="216">
        <v>10</v>
      </c>
      <c r="G30" s="216">
        <f t="shared" si="1"/>
        <v>280</v>
      </c>
      <c r="H30" s="209"/>
      <c r="I30" s="217"/>
      <c r="J30" s="207"/>
      <c r="K30" s="207"/>
    </row>
    <row r="31" spans="1:11" s="218" customFormat="1" ht="123.75" customHeight="1" x14ac:dyDescent="0.9">
      <c r="B31" s="207"/>
      <c r="C31" s="207"/>
      <c r="D31" s="207"/>
      <c r="E31" s="215">
        <v>13</v>
      </c>
      <c r="F31" s="216">
        <v>5</v>
      </c>
      <c r="G31" s="216">
        <f t="shared" si="1"/>
        <v>65</v>
      </c>
      <c r="H31" s="209"/>
      <c r="I31" s="217"/>
      <c r="J31" s="207"/>
      <c r="K31" s="207"/>
    </row>
    <row r="32" spans="1:11" s="218" customFormat="1" ht="123.75" customHeight="1" thickBot="1" x14ac:dyDescent="0.95">
      <c r="B32" s="207"/>
      <c r="C32" s="207"/>
      <c r="D32" s="207"/>
      <c r="E32" s="229">
        <f>28+50</f>
        <v>78</v>
      </c>
      <c r="F32" s="230">
        <v>1</v>
      </c>
      <c r="G32" s="230">
        <f t="shared" si="1"/>
        <v>78</v>
      </c>
      <c r="H32" s="209"/>
      <c r="I32" s="217"/>
      <c r="J32" s="207"/>
      <c r="K32" s="207"/>
    </row>
    <row r="33" spans="2:11" s="218" customFormat="1" ht="123.75" customHeight="1" x14ac:dyDescent="0.9">
      <c r="B33" s="207"/>
      <c r="C33" s="207"/>
      <c r="D33" s="207"/>
      <c r="E33" s="231"/>
      <c r="F33" s="232" t="s">
        <v>283</v>
      </c>
      <c r="G33" s="233">
        <f>SUM(G26:G32)</f>
        <v>1199723</v>
      </c>
      <c r="H33" s="209"/>
      <c r="I33" s="217"/>
      <c r="J33" s="207"/>
      <c r="K33" s="207"/>
    </row>
    <row r="34" spans="2:11" s="218" customFormat="1" ht="123.75" customHeight="1" x14ac:dyDescent="0.9">
      <c r="B34" s="207"/>
      <c r="C34" s="207"/>
      <c r="D34" s="207"/>
      <c r="E34" s="234"/>
      <c r="F34" s="228" t="s">
        <v>282</v>
      </c>
      <c r="G34" s="235">
        <f>D23</f>
        <v>1199742</v>
      </c>
      <c r="H34" s="209"/>
      <c r="I34" s="217"/>
      <c r="J34" s="207"/>
      <c r="K34" s="207"/>
    </row>
    <row r="35" spans="2:11" s="218" customFormat="1" ht="123.75" customHeight="1" thickBot="1" x14ac:dyDescent="0.95">
      <c r="B35" s="207"/>
      <c r="C35" s="207"/>
      <c r="D35" s="207"/>
      <c r="E35" s="236"/>
      <c r="F35" s="237" t="s">
        <v>284</v>
      </c>
      <c r="G35" s="238">
        <f>+G33-G34</f>
        <v>-19</v>
      </c>
      <c r="H35" s="209"/>
      <c r="I35" s="217"/>
      <c r="J35" s="207"/>
      <c r="K35" s="207"/>
    </row>
  </sheetData>
  <mergeCells count="2">
    <mergeCell ref="E23:G23"/>
    <mergeCell ref="E24:G24"/>
  </mergeCells>
  <conditionalFormatting sqref="A2">
    <cfRule type="cellIs" dxfId="166" priority="15" operator="equal">
      <formula>#REF!</formula>
    </cfRule>
  </conditionalFormatting>
  <conditionalFormatting sqref="A4">
    <cfRule type="cellIs" dxfId="165" priority="13" operator="equal">
      <formula>#REF!</formula>
    </cfRule>
  </conditionalFormatting>
  <conditionalFormatting sqref="A6">
    <cfRule type="cellIs" dxfId="164" priority="10" operator="equal">
      <formula>#REF!</formula>
    </cfRule>
  </conditionalFormatting>
  <conditionalFormatting sqref="A8 A10 A12 A14 A16 A18">
    <cfRule type="cellIs" dxfId="163" priority="1" operator="equal">
      <formula>#REF!</formula>
    </cfRule>
  </conditionalFormatting>
  <conditionalFormatting sqref="B1:B2 B21:B35">
    <cfRule type="cellIs" dxfId="162" priority="18" operator="equal">
      <formula>#REF!</formula>
    </cfRule>
  </conditionalFormatting>
  <conditionalFormatting sqref="B3">
    <cfRule type="cellIs" dxfId="161" priority="16" operator="equal">
      <formula>#REF!</formula>
    </cfRule>
  </conditionalFormatting>
  <conditionalFormatting sqref="B4:B20">
    <cfRule type="cellIs" dxfId="160" priority="2" operator="equal">
      <formula>#REF!</formula>
    </cfRule>
  </conditionalFormatting>
  <conditionalFormatting sqref="D1:E1">
    <cfRule type="duplicateValues" dxfId="159" priority="17"/>
  </conditionalFormatting>
  <printOptions horizontalCentered="1" verticalCentered="1"/>
  <pageMargins left="0.7" right="0.7" top="0.75" bottom="0.75" header="0.3" footer="0.3"/>
  <pageSetup paperSize="9" scale="12" fitToHeight="2" orientation="landscape" r:id="rId1"/>
  <rowBreaks count="1" manualBreakCount="1">
    <brk id="23" min="1" max="1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38"/>
  <sheetViews>
    <sheetView rightToLeft="1" view="pageBreakPreview" topLeftCell="C1" zoomScale="15" zoomScaleNormal="25" zoomScaleSheetLayoutView="15" workbookViewId="0">
      <pane ySplit="1" topLeftCell="A21" activePane="bottomLeft" state="frozen"/>
      <selection activeCell="B1" sqref="B1"/>
      <selection pane="bottomLeft" activeCell="F25" sqref="A1:K38"/>
    </sheetView>
  </sheetViews>
  <sheetFormatPr defaultColWidth="9" defaultRowHeight="46.5" x14ac:dyDescent="0.7"/>
  <cols>
    <col min="1" max="1" width="45.85546875" style="153" customWidth="1"/>
    <col min="2" max="2" width="55.5703125" style="153" customWidth="1"/>
    <col min="3" max="3" width="121.7109375" style="153" bestFit="1" customWidth="1"/>
    <col min="4" max="4" width="109.28515625" style="153" bestFit="1" customWidth="1"/>
    <col min="5" max="5" width="121.7109375" style="153" bestFit="1" customWidth="1"/>
    <col min="6" max="6" width="85.5703125" style="153" customWidth="1"/>
    <col min="7" max="7" width="120.28515625" style="153" customWidth="1"/>
    <col min="8" max="8" width="115.42578125" style="153" customWidth="1"/>
    <col min="9" max="9" width="158.140625" style="153" customWidth="1"/>
    <col min="10" max="10" width="187.28515625" style="153" customWidth="1"/>
    <col min="11" max="11" width="75.140625" style="153" customWidth="1"/>
    <col min="12" max="16384" width="9" style="153"/>
  </cols>
  <sheetData>
    <row r="1" spans="1:11" s="250" customFormat="1" ht="225" customHeight="1" thickBot="1" x14ac:dyDescent="1.4">
      <c r="A1" s="129"/>
      <c r="B1" s="246" t="s">
        <v>132</v>
      </c>
      <c r="C1" s="247" t="s">
        <v>1</v>
      </c>
      <c r="D1" s="248" t="s">
        <v>86</v>
      </c>
      <c r="E1" s="248" t="s">
        <v>163</v>
      </c>
      <c r="F1" s="249" t="s">
        <v>2</v>
      </c>
      <c r="G1" s="249" t="s">
        <v>3</v>
      </c>
      <c r="H1" s="249" t="s">
        <v>4</v>
      </c>
      <c r="I1" s="248" t="s">
        <v>92</v>
      </c>
      <c r="J1" s="248" t="s">
        <v>6</v>
      </c>
      <c r="K1" s="248" t="s">
        <v>7</v>
      </c>
    </row>
    <row r="2" spans="1:11" ht="180" customHeight="1" x14ac:dyDescent="0.7">
      <c r="A2" s="206" t="s">
        <v>114</v>
      </c>
      <c r="B2" s="207"/>
      <c r="C2" s="208"/>
      <c r="D2" s="207"/>
      <c r="E2" s="207"/>
      <c r="F2" s="209"/>
      <c r="G2" s="209"/>
      <c r="H2" s="210">
        <v>1199742</v>
      </c>
      <c r="I2" s="210" t="s">
        <v>129</v>
      </c>
      <c r="J2" s="207"/>
      <c r="K2" s="207"/>
    </row>
    <row r="3" spans="1:11" ht="180" customHeight="1" x14ac:dyDescent="0.7">
      <c r="A3" s="207" t="s">
        <v>113</v>
      </c>
      <c r="B3" s="206" t="s">
        <v>113</v>
      </c>
      <c r="C3" s="211">
        <v>45219</v>
      </c>
      <c r="D3" s="206"/>
      <c r="E3" s="206">
        <v>1192</v>
      </c>
      <c r="F3" s="212">
        <v>120000</v>
      </c>
      <c r="G3" s="212"/>
      <c r="H3" s="212">
        <f>+H2+F3-G3</f>
        <v>1319742</v>
      </c>
      <c r="I3" s="206" t="s">
        <v>373</v>
      </c>
      <c r="J3" s="224" t="s">
        <v>374</v>
      </c>
      <c r="K3" s="206"/>
    </row>
    <row r="4" spans="1:11" ht="180" customHeight="1" x14ac:dyDescent="0.7">
      <c r="A4" s="206"/>
      <c r="B4" s="207" t="s">
        <v>113</v>
      </c>
      <c r="C4" s="208">
        <v>45219</v>
      </c>
      <c r="D4" s="207"/>
      <c r="E4" s="207">
        <v>1193</v>
      </c>
      <c r="F4" s="209">
        <v>90000</v>
      </c>
      <c r="G4" s="209"/>
      <c r="H4" s="210">
        <f t="shared" ref="H4:H19" si="0">+H3+F4-G4</f>
        <v>1409742</v>
      </c>
      <c r="I4" s="210" t="s">
        <v>373</v>
      </c>
      <c r="J4" s="217" t="s">
        <v>375</v>
      </c>
      <c r="K4" s="207"/>
    </row>
    <row r="5" spans="1:11" ht="180" customHeight="1" x14ac:dyDescent="0.7">
      <c r="A5" s="207"/>
      <c r="B5" s="206" t="s">
        <v>113</v>
      </c>
      <c r="C5" s="211">
        <v>45220</v>
      </c>
      <c r="D5" s="206">
        <v>1635</v>
      </c>
      <c r="E5" s="206"/>
      <c r="F5" s="212"/>
      <c r="G5" s="212">
        <v>50000</v>
      </c>
      <c r="H5" s="212">
        <f t="shared" si="0"/>
        <v>1359742</v>
      </c>
      <c r="I5" s="206" t="s">
        <v>376</v>
      </c>
      <c r="J5" s="224" t="s">
        <v>316</v>
      </c>
      <c r="K5" s="206"/>
    </row>
    <row r="6" spans="1:11" ht="180" customHeight="1" x14ac:dyDescent="0.7">
      <c r="A6" s="206"/>
      <c r="B6" s="207" t="s">
        <v>113</v>
      </c>
      <c r="C6" s="208">
        <v>45220</v>
      </c>
      <c r="D6" s="207">
        <v>1636</v>
      </c>
      <c r="E6" s="207"/>
      <c r="F6" s="209"/>
      <c r="G6" s="209">
        <v>10000</v>
      </c>
      <c r="H6" s="210">
        <f t="shared" si="0"/>
        <v>1349742</v>
      </c>
      <c r="I6" s="210" t="s">
        <v>72</v>
      </c>
      <c r="J6" s="217" t="s">
        <v>377</v>
      </c>
      <c r="K6" s="207"/>
    </row>
    <row r="7" spans="1:11" ht="180" customHeight="1" x14ac:dyDescent="0.7">
      <c r="A7" s="207"/>
      <c r="B7" s="206" t="s">
        <v>113</v>
      </c>
      <c r="C7" s="211">
        <v>45220</v>
      </c>
      <c r="D7" s="206">
        <v>1637</v>
      </c>
      <c r="E7" s="206"/>
      <c r="F7" s="212"/>
      <c r="G7" s="212">
        <v>1500</v>
      </c>
      <c r="H7" s="212">
        <f t="shared" si="0"/>
        <v>1348242</v>
      </c>
      <c r="I7" s="206" t="s">
        <v>378</v>
      </c>
      <c r="J7" s="224" t="s">
        <v>379</v>
      </c>
      <c r="K7" s="206"/>
    </row>
    <row r="8" spans="1:11" ht="180" customHeight="1" x14ac:dyDescent="0.7">
      <c r="A8" s="206"/>
      <c r="B8" s="207" t="s">
        <v>113</v>
      </c>
      <c r="C8" s="208">
        <v>45220</v>
      </c>
      <c r="D8" s="207">
        <v>1638</v>
      </c>
      <c r="E8" s="207"/>
      <c r="F8" s="209"/>
      <c r="G8" s="209">
        <v>70000</v>
      </c>
      <c r="H8" s="210">
        <f t="shared" si="0"/>
        <v>1278242</v>
      </c>
      <c r="I8" s="210" t="s">
        <v>378</v>
      </c>
      <c r="J8" s="217" t="s">
        <v>380</v>
      </c>
      <c r="K8" s="207"/>
    </row>
    <row r="9" spans="1:11" ht="180" customHeight="1" x14ac:dyDescent="0.7">
      <c r="A9" s="207"/>
      <c r="B9" s="206" t="s">
        <v>113</v>
      </c>
      <c r="C9" s="211">
        <v>45220</v>
      </c>
      <c r="D9" s="206">
        <v>1639</v>
      </c>
      <c r="E9" s="206"/>
      <c r="F9" s="212"/>
      <c r="G9" s="212">
        <v>7775</v>
      </c>
      <c r="H9" s="212">
        <f t="shared" si="0"/>
        <v>1270467</v>
      </c>
      <c r="I9" s="206" t="s">
        <v>72</v>
      </c>
      <c r="J9" s="224" t="s">
        <v>381</v>
      </c>
      <c r="K9" s="206"/>
    </row>
    <row r="10" spans="1:11" ht="180" customHeight="1" x14ac:dyDescent="0.7">
      <c r="A10" s="206"/>
      <c r="B10" s="207" t="s">
        <v>113</v>
      </c>
      <c r="C10" s="208">
        <v>45220</v>
      </c>
      <c r="D10" s="207">
        <v>1640</v>
      </c>
      <c r="E10" s="207"/>
      <c r="F10" s="209"/>
      <c r="G10" s="209">
        <v>250</v>
      </c>
      <c r="H10" s="210">
        <f t="shared" si="0"/>
        <v>1270217</v>
      </c>
      <c r="I10" s="210" t="s">
        <v>72</v>
      </c>
      <c r="J10" s="217" t="s">
        <v>224</v>
      </c>
      <c r="K10" s="207"/>
    </row>
    <row r="11" spans="1:11" ht="180" customHeight="1" x14ac:dyDescent="0.7">
      <c r="A11" s="207"/>
      <c r="B11" s="206" t="s">
        <v>113</v>
      </c>
      <c r="C11" s="211">
        <v>45220</v>
      </c>
      <c r="D11" s="206">
        <v>1641</v>
      </c>
      <c r="E11" s="206"/>
      <c r="F11" s="212"/>
      <c r="G11" s="212">
        <v>2700</v>
      </c>
      <c r="H11" s="212">
        <f t="shared" si="0"/>
        <v>1267517</v>
      </c>
      <c r="I11" s="206" t="s">
        <v>118</v>
      </c>
      <c r="J11" s="224" t="s">
        <v>271</v>
      </c>
      <c r="K11" s="206"/>
    </row>
    <row r="12" spans="1:11" ht="180" customHeight="1" x14ac:dyDescent="0.7">
      <c r="A12" s="206"/>
      <c r="B12" s="207" t="s">
        <v>113</v>
      </c>
      <c r="C12" s="208">
        <v>45220</v>
      </c>
      <c r="D12" s="207">
        <v>1642</v>
      </c>
      <c r="E12" s="207"/>
      <c r="F12" s="209"/>
      <c r="G12" s="209">
        <v>900000</v>
      </c>
      <c r="H12" s="210">
        <f t="shared" si="0"/>
        <v>367517</v>
      </c>
      <c r="I12" s="210" t="s">
        <v>382</v>
      </c>
      <c r="J12" s="217" t="s">
        <v>383</v>
      </c>
      <c r="K12" s="207"/>
    </row>
    <row r="13" spans="1:11" ht="180" customHeight="1" x14ac:dyDescent="0.7">
      <c r="A13" s="207"/>
      <c r="B13" s="206" t="s">
        <v>114</v>
      </c>
      <c r="C13" s="211">
        <v>45220</v>
      </c>
      <c r="D13" s="206"/>
      <c r="E13" s="206"/>
      <c r="F13" s="212">
        <v>50000</v>
      </c>
      <c r="G13" s="212"/>
      <c r="H13" s="212">
        <f t="shared" si="0"/>
        <v>417517</v>
      </c>
      <c r="I13" s="206" t="s">
        <v>203</v>
      </c>
      <c r="J13" s="224"/>
      <c r="K13" s="206"/>
    </row>
    <row r="14" spans="1:11" ht="180" customHeight="1" x14ac:dyDescent="0.7">
      <c r="A14" s="206"/>
      <c r="B14" s="207" t="s">
        <v>114</v>
      </c>
      <c r="C14" s="208">
        <v>45220</v>
      </c>
      <c r="D14" s="207">
        <v>1643</v>
      </c>
      <c r="E14" s="207"/>
      <c r="F14" s="209"/>
      <c r="G14" s="209">
        <v>50000</v>
      </c>
      <c r="H14" s="210">
        <f>+H13+F14-G14</f>
        <v>367517</v>
      </c>
      <c r="I14" s="210" t="s">
        <v>201</v>
      </c>
      <c r="J14" s="217" t="s">
        <v>384</v>
      </c>
      <c r="K14" s="207"/>
    </row>
    <row r="15" spans="1:11" ht="180" customHeight="1" x14ac:dyDescent="0.7">
      <c r="A15" s="207"/>
      <c r="B15" s="206" t="s">
        <v>113</v>
      </c>
      <c r="C15" s="211">
        <v>45220</v>
      </c>
      <c r="D15" s="206">
        <v>1644</v>
      </c>
      <c r="E15" s="206"/>
      <c r="F15" s="212"/>
      <c r="G15" s="212">
        <v>300000</v>
      </c>
      <c r="H15" s="212">
        <f>+H14+F15-G15</f>
        <v>67517</v>
      </c>
      <c r="I15" s="206" t="s">
        <v>201</v>
      </c>
      <c r="J15" s="224" t="s">
        <v>385</v>
      </c>
      <c r="K15" s="206"/>
    </row>
    <row r="16" spans="1:11" ht="180" customHeight="1" x14ac:dyDescent="0.7">
      <c r="A16" s="206"/>
      <c r="B16" s="207" t="s">
        <v>113</v>
      </c>
      <c r="C16" s="208">
        <v>45220</v>
      </c>
      <c r="D16" s="207">
        <v>1645</v>
      </c>
      <c r="E16" s="207"/>
      <c r="F16" s="209"/>
      <c r="G16" s="209">
        <v>1000</v>
      </c>
      <c r="H16" s="210">
        <f>+H15+F16-G16</f>
        <v>66517</v>
      </c>
      <c r="I16" s="210" t="s">
        <v>223</v>
      </c>
      <c r="J16" s="217" t="s">
        <v>224</v>
      </c>
      <c r="K16" s="207"/>
    </row>
    <row r="17" spans="1:11" ht="180" customHeight="1" x14ac:dyDescent="0.7">
      <c r="A17" s="207"/>
      <c r="B17" s="206" t="s">
        <v>113</v>
      </c>
      <c r="C17" s="211">
        <v>45220</v>
      </c>
      <c r="D17" s="206">
        <v>1646</v>
      </c>
      <c r="E17" s="206"/>
      <c r="F17" s="212"/>
      <c r="G17" s="212">
        <v>9000</v>
      </c>
      <c r="H17" s="212">
        <f t="shared" si="0"/>
        <v>57517</v>
      </c>
      <c r="I17" s="206" t="s">
        <v>386</v>
      </c>
      <c r="J17" s="224" t="s">
        <v>387</v>
      </c>
      <c r="K17" s="206"/>
    </row>
    <row r="18" spans="1:11" ht="180" customHeight="1" x14ac:dyDescent="0.7">
      <c r="A18" s="206"/>
      <c r="B18" s="207" t="s">
        <v>113</v>
      </c>
      <c r="C18" s="208">
        <v>45220</v>
      </c>
      <c r="D18" s="207"/>
      <c r="E18" s="207"/>
      <c r="F18" s="209">
        <v>1164</v>
      </c>
      <c r="G18" s="209"/>
      <c r="H18" s="210">
        <f t="shared" si="0"/>
        <v>58681</v>
      </c>
      <c r="I18" s="210" t="s">
        <v>302</v>
      </c>
      <c r="J18" s="217"/>
      <c r="K18" s="207"/>
    </row>
    <row r="19" spans="1:11" ht="180" customHeight="1" x14ac:dyDescent="0.7">
      <c r="A19" s="207"/>
      <c r="B19" s="206" t="s">
        <v>113</v>
      </c>
      <c r="C19" s="211">
        <v>45220</v>
      </c>
      <c r="D19" s="206"/>
      <c r="E19" s="206"/>
      <c r="F19" s="212"/>
      <c r="G19" s="254">
        <v>50000</v>
      </c>
      <c r="H19" s="254">
        <f t="shared" si="0"/>
        <v>8681</v>
      </c>
      <c r="I19" s="253" t="s">
        <v>369</v>
      </c>
      <c r="J19" s="255" t="s">
        <v>388</v>
      </c>
      <c r="K19" s="253" t="s">
        <v>372</v>
      </c>
    </row>
    <row r="20" spans="1:11" ht="180" customHeight="1" x14ac:dyDescent="0.7">
      <c r="A20" s="206"/>
      <c r="B20" s="207" t="s">
        <v>113</v>
      </c>
      <c r="C20" s="208">
        <v>45220</v>
      </c>
      <c r="D20" s="207"/>
      <c r="E20" s="207"/>
      <c r="F20" s="209">
        <v>1100</v>
      </c>
      <c r="G20" s="209"/>
      <c r="H20" s="210">
        <f>+H19+F20-G20</f>
        <v>9781</v>
      </c>
      <c r="I20" s="210" t="s">
        <v>302</v>
      </c>
      <c r="J20" s="217"/>
      <c r="K20" s="207"/>
    </row>
    <row r="21" spans="1:11" ht="180" customHeight="1" x14ac:dyDescent="0.7">
      <c r="A21" s="207"/>
      <c r="B21" s="206" t="s">
        <v>113</v>
      </c>
      <c r="C21" s="211">
        <v>45220</v>
      </c>
      <c r="D21" s="206">
        <v>1647</v>
      </c>
      <c r="E21" s="206"/>
      <c r="F21" s="212"/>
      <c r="G21" s="212">
        <v>600</v>
      </c>
      <c r="H21" s="212">
        <f t="shared" ref="H21" si="1">+H20+F21-G21</f>
        <v>9181</v>
      </c>
      <c r="I21" s="206" t="s">
        <v>389</v>
      </c>
      <c r="J21" s="224" t="s">
        <v>390</v>
      </c>
      <c r="K21" s="206"/>
    </row>
    <row r="22" spans="1:11" ht="180" customHeight="1" x14ac:dyDescent="0.7">
      <c r="A22" s="206"/>
      <c r="B22" s="207" t="s">
        <v>113</v>
      </c>
      <c r="C22" s="208">
        <v>45220</v>
      </c>
      <c r="D22" s="207">
        <v>1648</v>
      </c>
      <c r="E22" s="207"/>
      <c r="F22" s="209"/>
      <c r="G22" s="209">
        <v>3320</v>
      </c>
      <c r="H22" s="210">
        <f>+H21+F22-G22</f>
        <v>5861</v>
      </c>
      <c r="I22" s="210" t="s">
        <v>226</v>
      </c>
      <c r="J22" s="217" t="s">
        <v>391</v>
      </c>
      <c r="K22" s="207"/>
    </row>
    <row r="23" spans="1:11" ht="180" customHeight="1" thickBot="1" x14ac:dyDescent="0.75">
      <c r="A23" s="207"/>
      <c r="B23" s="206"/>
      <c r="C23" s="211"/>
      <c r="D23" s="206"/>
      <c r="E23" s="206"/>
      <c r="F23" s="212"/>
      <c r="G23" s="212"/>
      <c r="H23" s="212"/>
      <c r="I23" s="206"/>
      <c r="J23" s="224"/>
      <c r="K23" s="206"/>
    </row>
    <row r="24" spans="1:11" ht="184.5" customHeight="1" thickTop="1" x14ac:dyDescent="0.7">
      <c r="B24" s="256"/>
      <c r="C24" s="239" t="s">
        <v>127</v>
      </c>
      <c r="D24" s="240" t="s">
        <v>115</v>
      </c>
      <c r="E24" s="240" t="s">
        <v>179</v>
      </c>
      <c r="F24" s="240" t="s">
        <v>116</v>
      </c>
      <c r="G24" s="241" t="s">
        <v>180</v>
      </c>
      <c r="H24" s="242" t="s">
        <v>211</v>
      </c>
      <c r="I24" s="252"/>
      <c r="J24" s="257"/>
      <c r="K24" s="257"/>
    </row>
    <row r="25" spans="1:11" ht="339.75" customHeight="1" thickBot="1" x14ac:dyDescent="0.75">
      <c r="B25" s="207"/>
      <c r="C25" s="243">
        <f>$H$2</f>
        <v>1199742</v>
      </c>
      <c r="D25" s="244">
        <f>SUMIF(B3:B23,A3,F3:F$23)</f>
        <v>212264</v>
      </c>
      <c r="E25" s="244">
        <f>SUMIF(B2:B23,A3,G2:$G$23)</f>
        <v>1406145</v>
      </c>
      <c r="F25" s="244">
        <f>SUMIF(B2:B23,A2,F2:$F$23)</f>
        <v>50000</v>
      </c>
      <c r="G25" s="244">
        <f>SUMIF(B2:B23,A2,G2:$G$23)</f>
        <v>50000</v>
      </c>
      <c r="H25" s="245">
        <f>+C25+D25+F25-E25-G25</f>
        <v>5861</v>
      </c>
      <c r="I25" s="217"/>
      <c r="J25" s="258"/>
      <c r="K25" s="258"/>
    </row>
    <row r="26" spans="1:11" ht="222" customHeight="1" thickTop="1" x14ac:dyDescent="0.7">
      <c r="B26" s="207"/>
      <c r="C26" s="207"/>
      <c r="D26" s="251">
        <f>+C25+D25-E25</f>
        <v>5861</v>
      </c>
      <c r="E26" s="564" t="s">
        <v>181</v>
      </c>
      <c r="F26" s="564"/>
      <c r="G26" s="564"/>
      <c r="H26" s="209"/>
      <c r="I26" s="217"/>
      <c r="J26" s="207"/>
      <c r="K26" s="207"/>
    </row>
    <row r="27" spans="1:11" s="218" customFormat="1" ht="127.5" customHeight="1" x14ac:dyDescent="0.9">
      <c r="B27" s="207"/>
      <c r="C27" s="207"/>
      <c r="D27" s="226"/>
      <c r="E27" s="565" t="s">
        <v>278</v>
      </c>
      <c r="F27" s="565"/>
      <c r="G27" s="565"/>
      <c r="H27" s="209"/>
      <c r="I27" s="217"/>
      <c r="J27" s="207"/>
      <c r="K27" s="207"/>
    </row>
    <row r="28" spans="1:11" s="218" customFormat="1" ht="127.5" customHeight="1" x14ac:dyDescent="0.9">
      <c r="B28" s="207"/>
      <c r="C28" s="207"/>
      <c r="D28" s="226"/>
      <c r="E28" s="227" t="s">
        <v>279</v>
      </c>
      <c r="F28" s="227" t="s">
        <v>280</v>
      </c>
      <c r="G28" s="227" t="s">
        <v>281</v>
      </c>
      <c r="H28" s="209"/>
      <c r="I28" s="217"/>
      <c r="J28" s="207"/>
      <c r="K28" s="207"/>
    </row>
    <row r="29" spans="1:11" s="218" customFormat="1" ht="123.75" customHeight="1" x14ac:dyDescent="0.9">
      <c r="B29" s="207"/>
      <c r="C29" s="207"/>
      <c r="D29" s="207"/>
      <c r="E29" s="215">
        <v>1</v>
      </c>
      <c r="F29" s="216">
        <v>200</v>
      </c>
      <c r="G29" s="216">
        <f>+F29*E29</f>
        <v>200</v>
      </c>
      <c r="H29" s="209"/>
      <c r="I29" s="217"/>
      <c r="J29" s="207"/>
      <c r="K29" s="207"/>
    </row>
    <row r="30" spans="1:11" s="218" customFormat="1" ht="123.75" customHeight="1" x14ac:dyDescent="0.9">
      <c r="B30" s="207"/>
      <c r="C30" s="207"/>
      <c r="D30" s="207"/>
      <c r="E30" s="215">
        <v>32</v>
      </c>
      <c r="F30" s="216">
        <v>100</v>
      </c>
      <c r="G30" s="216">
        <f t="shared" ref="G30:G35" si="2">+F30*E30</f>
        <v>3200</v>
      </c>
      <c r="H30" s="209"/>
      <c r="I30" s="217"/>
      <c r="J30" s="209"/>
      <c r="K30" s="207"/>
    </row>
    <row r="31" spans="1:11" s="218" customFormat="1" ht="123.75" customHeight="1" x14ac:dyDescent="0.9">
      <c r="B31" s="207"/>
      <c r="C31" s="207"/>
      <c r="D31" s="207"/>
      <c r="E31" s="215">
        <f>23+6</f>
        <v>29</v>
      </c>
      <c r="F31" s="216">
        <v>50</v>
      </c>
      <c r="G31" s="216">
        <f t="shared" si="2"/>
        <v>1450</v>
      </c>
      <c r="H31" s="209"/>
      <c r="I31" s="217"/>
      <c r="J31" s="207"/>
      <c r="K31" s="207"/>
    </row>
    <row r="32" spans="1:11" s="218" customFormat="1" ht="123.75" customHeight="1" x14ac:dyDescent="0.9">
      <c r="B32" s="207"/>
      <c r="C32" s="207"/>
      <c r="D32" s="207"/>
      <c r="E32" s="215">
        <v>17</v>
      </c>
      <c r="F32" s="216">
        <v>20</v>
      </c>
      <c r="G32" s="216">
        <f t="shared" si="2"/>
        <v>340</v>
      </c>
      <c r="H32" s="209"/>
      <c r="I32" s="217"/>
      <c r="J32" s="207"/>
      <c r="K32" s="207"/>
    </row>
    <row r="33" spans="2:11" s="218" customFormat="1" ht="123.75" customHeight="1" x14ac:dyDescent="0.9">
      <c r="B33" s="207"/>
      <c r="C33" s="207"/>
      <c r="D33" s="207"/>
      <c r="E33" s="215">
        <v>53</v>
      </c>
      <c r="F33" s="216">
        <v>10</v>
      </c>
      <c r="G33" s="216">
        <f t="shared" si="2"/>
        <v>530</v>
      </c>
      <c r="H33" s="209"/>
      <c r="I33" s="217"/>
      <c r="J33" s="207"/>
      <c r="K33" s="207"/>
    </row>
    <row r="34" spans="2:11" s="218" customFormat="1" ht="123.75" customHeight="1" x14ac:dyDescent="0.9">
      <c r="B34" s="207"/>
      <c r="C34" s="207"/>
      <c r="D34" s="207"/>
      <c r="E34" s="215">
        <v>5</v>
      </c>
      <c r="F34" s="216">
        <v>5</v>
      </c>
      <c r="G34" s="216">
        <f t="shared" si="2"/>
        <v>25</v>
      </c>
      <c r="H34" s="209"/>
      <c r="I34" s="217"/>
      <c r="J34" s="207"/>
      <c r="K34" s="207"/>
    </row>
    <row r="35" spans="2:11" s="218" customFormat="1" ht="123.75" customHeight="1" thickBot="1" x14ac:dyDescent="0.95">
      <c r="B35" s="207"/>
      <c r="C35" s="207"/>
      <c r="D35" s="207"/>
      <c r="E35" s="229">
        <v>30</v>
      </c>
      <c r="F35" s="230">
        <v>1</v>
      </c>
      <c r="G35" s="230">
        <f t="shared" si="2"/>
        <v>30</v>
      </c>
      <c r="H35" s="209"/>
      <c r="I35" s="217"/>
      <c r="J35" s="207"/>
      <c r="K35" s="207"/>
    </row>
    <row r="36" spans="2:11" s="218" customFormat="1" ht="123.75" customHeight="1" x14ac:dyDescent="0.9">
      <c r="B36" s="207"/>
      <c r="C36" s="207"/>
      <c r="D36" s="207"/>
      <c r="E36" s="231"/>
      <c r="F36" s="232" t="s">
        <v>283</v>
      </c>
      <c r="G36" s="233">
        <f>SUM(G29:G35)</f>
        <v>5775</v>
      </c>
      <c r="H36" s="209"/>
      <c r="I36" s="217"/>
      <c r="J36" s="207"/>
      <c r="K36" s="207"/>
    </row>
    <row r="37" spans="2:11" s="218" customFormat="1" ht="123.75" customHeight="1" x14ac:dyDescent="0.9">
      <c r="B37" s="207"/>
      <c r="C37" s="207"/>
      <c r="D37" s="207"/>
      <c r="E37" s="234"/>
      <c r="F37" s="228" t="s">
        <v>282</v>
      </c>
      <c r="G37" s="235">
        <f>D26</f>
        <v>5861</v>
      </c>
      <c r="H37" s="209"/>
      <c r="I37" s="217"/>
      <c r="J37" s="207"/>
      <c r="K37" s="207"/>
    </row>
    <row r="38" spans="2:11" s="218" customFormat="1" ht="123.75" customHeight="1" thickBot="1" x14ac:dyDescent="0.95">
      <c r="B38" s="207"/>
      <c r="C38" s="207"/>
      <c r="D38" s="207"/>
      <c r="E38" s="236"/>
      <c r="F38" s="237" t="s">
        <v>284</v>
      </c>
      <c r="G38" s="238">
        <f>+G36-G37</f>
        <v>-86</v>
      </c>
      <c r="H38" s="209"/>
      <c r="I38" s="217"/>
      <c r="J38" s="207"/>
      <c r="K38" s="207"/>
    </row>
  </sheetData>
  <mergeCells count="2">
    <mergeCell ref="E26:G26"/>
    <mergeCell ref="E27:G27"/>
  </mergeCells>
  <conditionalFormatting sqref="A2">
    <cfRule type="cellIs" dxfId="158" priority="13" operator="equal">
      <formula>#REF!</formula>
    </cfRule>
  </conditionalFormatting>
  <conditionalFormatting sqref="A4">
    <cfRule type="cellIs" dxfId="157" priority="11" operator="equal">
      <formula>#REF!</formula>
    </cfRule>
  </conditionalFormatting>
  <conditionalFormatting sqref="A6 A8 A10 A12 A14 A16 A18 A20 A22">
    <cfRule type="cellIs" dxfId="156" priority="1" operator="equal">
      <formula>#REF!</formula>
    </cfRule>
  </conditionalFormatting>
  <conditionalFormatting sqref="B1:B2 B24:B38">
    <cfRule type="cellIs" dxfId="155" priority="16" operator="equal">
      <formula>#REF!</formula>
    </cfRule>
  </conditionalFormatting>
  <conditionalFormatting sqref="B3">
    <cfRule type="cellIs" dxfId="154" priority="14" operator="equal">
      <formula>#REF!</formula>
    </cfRule>
  </conditionalFormatting>
  <conditionalFormatting sqref="B4:B23">
    <cfRule type="cellIs" dxfId="153" priority="2" operator="equal">
      <formula>#REF!</formula>
    </cfRule>
  </conditionalFormatting>
  <conditionalFormatting sqref="D1:E1">
    <cfRule type="duplicateValues" dxfId="152" priority="15"/>
  </conditionalFormatting>
  <printOptions horizontalCentered="1" verticalCentered="1"/>
  <pageMargins left="0.7" right="0.7" top="0.75" bottom="0.75" header="0.3" footer="0.3"/>
  <pageSetup paperSize="9" scale="10" fitToHeight="2" orientation="landscape" r:id="rId1"/>
  <rowBreaks count="1" manualBreakCount="1">
    <brk id="26" max="1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3"/>
  <sheetViews>
    <sheetView rightToLeft="1" view="pageBreakPreview" topLeftCell="C1" zoomScale="15" zoomScaleNormal="25" zoomScaleSheetLayoutView="15" workbookViewId="0">
      <pane ySplit="1" topLeftCell="A8" activePane="bottomLeft" state="frozen"/>
      <selection activeCell="B1" sqref="B1"/>
      <selection pane="bottomLeft" activeCell="D10" sqref="D10"/>
    </sheetView>
  </sheetViews>
  <sheetFormatPr defaultColWidth="9" defaultRowHeight="46.5" x14ac:dyDescent="0.7"/>
  <cols>
    <col min="1" max="1" width="7.42578125" style="153" hidden="1" customWidth="1"/>
    <col min="2" max="2" width="79" style="153" customWidth="1"/>
    <col min="3" max="3" width="121.7109375" style="153" bestFit="1" customWidth="1"/>
    <col min="4" max="4" width="109.28515625" style="153" bestFit="1" customWidth="1"/>
    <col min="5" max="5" width="121.7109375" style="153" bestFit="1" customWidth="1"/>
    <col min="6" max="6" width="85.5703125" style="153" customWidth="1"/>
    <col min="7" max="7" width="120.28515625" style="153" customWidth="1"/>
    <col min="8" max="8" width="115.42578125" style="153" customWidth="1"/>
    <col min="9" max="9" width="158.140625" style="153" customWidth="1"/>
    <col min="10" max="10" width="187.28515625" style="153" customWidth="1"/>
    <col min="11" max="11" width="75.140625" style="153" customWidth="1"/>
    <col min="12" max="16384" width="9" style="153"/>
  </cols>
  <sheetData>
    <row r="1" spans="1:11" s="250" customFormat="1" ht="225" customHeight="1" thickBot="1" x14ac:dyDescent="1.4">
      <c r="A1" s="129"/>
      <c r="B1" s="246" t="s">
        <v>132</v>
      </c>
      <c r="C1" s="247" t="s">
        <v>1</v>
      </c>
      <c r="D1" s="248" t="s">
        <v>86</v>
      </c>
      <c r="E1" s="248" t="s">
        <v>163</v>
      </c>
      <c r="F1" s="249" t="s">
        <v>2</v>
      </c>
      <c r="G1" s="249" t="s">
        <v>3</v>
      </c>
      <c r="H1" s="249" t="s">
        <v>4</v>
      </c>
      <c r="I1" s="248" t="s">
        <v>92</v>
      </c>
      <c r="J1" s="248" t="s">
        <v>6</v>
      </c>
      <c r="K1" s="248" t="s">
        <v>7</v>
      </c>
    </row>
    <row r="2" spans="1:11" ht="285" customHeight="1" x14ac:dyDescent="0.7">
      <c r="A2" s="256" t="s">
        <v>114</v>
      </c>
      <c r="B2" s="262"/>
      <c r="C2" s="263"/>
      <c r="D2" s="262"/>
      <c r="E2" s="262"/>
      <c r="F2" s="264"/>
      <c r="G2" s="264"/>
      <c r="H2" s="265">
        <v>5861</v>
      </c>
      <c r="I2" s="265" t="s">
        <v>129</v>
      </c>
      <c r="J2" s="262"/>
      <c r="K2" s="207"/>
    </row>
    <row r="3" spans="1:11" ht="285" customHeight="1" x14ac:dyDescent="0.7">
      <c r="A3" s="214" t="s">
        <v>113</v>
      </c>
      <c r="B3" s="266" t="s">
        <v>113</v>
      </c>
      <c r="C3" s="267">
        <v>45221</v>
      </c>
      <c r="D3" s="266">
        <v>1649</v>
      </c>
      <c r="E3" s="266"/>
      <c r="F3" s="268"/>
      <c r="G3" s="268">
        <v>500</v>
      </c>
      <c r="H3" s="268">
        <f>+H2+F3-G3</f>
        <v>5361</v>
      </c>
      <c r="I3" s="266" t="s">
        <v>392</v>
      </c>
      <c r="J3" s="266" t="s">
        <v>224</v>
      </c>
      <c r="K3" s="206"/>
    </row>
    <row r="4" spans="1:11" ht="285" customHeight="1" x14ac:dyDescent="0.7">
      <c r="A4" s="207"/>
      <c r="B4" s="262" t="s">
        <v>113</v>
      </c>
      <c r="C4" s="263">
        <v>45221</v>
      </c>
      <c r="D4" s="262" t="s">
        <v>394</v>
      </c>
      <c r="E4" s="262"/>
      <c r="F4" s="264">
        <v>10000</v>
      </c>
      <c r="G4" s="264"/>
      <c r="H4" s="265">
        <f t="shared" ref="H4:H7" si="0">+H3+F4-G4</f>
        <v>15361</v>
      </c>
      <c r="I4" s="265" t="s">
        <v>361</v>
      </c>
      <c r="J4" s="262" t="s">
        <v>393</v>
      </c>
      <c r="K4" s="207"/>
    </row>
    <row r="5" spans="1:11" ht="285" customHeight="1" x14ac:dyDescent="0.7">
      <c r="A5" s="206"/>
      <c r="B5" s="266" t="s">
        <v>113</v>
      </c>
      <c r="C5" s="267"/>
      <c r="D5" s="266"/>
      <c r="E5" s="266"/>
      <c r="F5" s="268">
        <v>415</v>
      </c>
      <c r="G5" s="268"/>
      <c r="H5" s="268">
        <f t="shared" si="0"/>
        <v>15776</v>
      </c>
      <c r="I5" s="266" t="s">
        <v>128</v>
      </c>
      <c r="J5" s="266"/>
      <c r="K5" s="206"/>
    </row>
    <row r="6" spans="1:11" ht="285" customHeight="1" x14ac:dyDescent="0.7">
      <c r="A6" s="207"/>
      <c r="B6" s="262"/>
      <c r="C6" s="263"/>
      <c r="D6" s="262"/>
      <c r="E6" s="262"/>
      <c r="F6" s="264"/>
      <c r="G6" s="264"/>
      <c r="H6" s="265">
        <f t="shared" si="0"/>
        <v>15776</v>
      </c>
      <c r="I6" s="265"/>
      <c r="J6" s="262"/>
      <c r="K6" s="207"/>
    </row>
    <row r="7" spans="1:11" ht="285" customHeight="1" x14ac:dyDescent="0.7">
      <c r="A7" s="206"/>
      <c r="B7" s="266"/>
      <c r="C7" s="267"/>
      <c r="D7" s="266"/>
      <c r="E7" s="266"/>
      <c r="F7" s="268"/>
      <c r="G7" s="268"/>
      <c r="H7" s="268">
        <f t="shared" si="0"/>
        <v>15776</v>
      </c>
      <c r="I7" s="266"/>
      <c r="J7" s="269"/>
      <c r="K7" s="206"/>
    </row>
    <row r="8" spans="1:11" ht="180" customHeight="1" thickBot="1" x14ac:dyDescent="0.75">
      <c r="A8" s="206"/>
      <c r="B8" s="266"/>
      <c r="C8" s="267"/>
      <c r="D8" s="266"/>
      <c r="E8" s="266"/>
      <c r="F8" s="268"/>
      <c r="G8" s="268"/>
      <c r="H8" s="268"/>
      <c r="I8" s="266"/>
      <c r="J8" s="269"/>
      <c r="K8" s="206"/>
    </row>
    <row r="9" spans="1:11" ht="184.5" customHeight="1" thickTop="1" x14ac:dyDescent="0.7">
      <c r="B9" s="270"/>
      <c r="C9" s="136" t="s">
        <v>127</v>
      </c>
      <c r="D9" s="137" t="s">
        <v>115</v>
      </c>
      <c r="E9" s="137" t="s">
        <v>179</v>
      </c>
      <c r="F9" s="137" t="s">
        <v>116</v>
      </c>
      <c r="G9" s="138" t="s">
        <v>180</v>
      </c>
      <c r="H9" s="139" t="s">
        <v>211</v>
      </c>
      <c r="I9" s="271"/>
      <c r="J9" s="150"/>
      <c r="K9" s="257"/>
    </row>
    <row r="10" spans="1:11" ht="339.75" customHeight="1" thickBot="1" x14ac:dyDescent="0.75">
      <c r="B10" s="262"/>
      <c r="C10" s="140">
        <f>$H$2</f>
        <v>5861</v>
      </c>
      <c r="D10" s="141">
        <f ca="1">SUMIF(B3:B8,A3,F3:F$7)</f>
        <v>10415</v>
      </c>
      <c r="E10" s="141">
        <f>SUMIF(B2:B8,A3,G2:$G$8)</f>
        <v>500</v>
      </c>
      <c r="F10" s="141">
        <f>SUMIF(B2:B8,A2,F2:$F$8)</f>
        <v>0</v>
      </c>
      <c r="G10" s="141">
        <f>SUMIF(B2:B8,A2,G2:$G$8)</f>
        <v>0</v>
      </c>
      <c r="H10" s="142">
        <f ca="1">+C10+D10+F10-E10-G10</f>
        <v>15776</v>
      </c>
      <c r="I10" s="272"/>
      <c r="J10" s="143"/>
      <c r="K10" s="258"/>
    </row>
    <row r="11" spans="1:11" ht="222" customHeight="1" thickTop="1" x14ac:dyDescent="0.7">
      <c r="B11" s="262"/>
      <c r="C11" s="262"/>
      <c r="D11" s="259">
        <f ca="1">+C10+D10-E10</f>
        <v>15776</v>
      </c>
      <c r="E11" s="566" t="s">
        <v>181</v>
      </c>
      <c r="F11" s="566"/>
      <c r="G11" s="566"/>
      <c r="H11" s="264"/>
      <c r="I11" s="272"/>
      <c r="J11" s="262"/>
      <c r="K11" s="207"/>
    </row>
    <row r="12" spans="1:11" s="218" customFormat="1" ht="117.75" customHeight="1" x14ac:dyDescent="0.9">
      <c r="B12" s="262"/>
      <c r="C12" s="262"/>
      <c r="D12" s="273"/>
      <c r="E12" s="567" t="s">
        <v>278</v>
      </c>
      <c r="F12" s="567"/>
      <c r="G12" s="567"/>
      <c r="H12" s="264"/>
      <c r="I12" s="272"/>
      <c r="J12" s="262"/>
      <c r="K12" s="207"/>
    </row>
    <row r="13" spans="1:11" s="218" customFormat="1" ht="117.75" customHeight="1" x14ac:dyDescent="0.9">
      <c r="B13" s="262"/>
      <c r="C13" s="262"/>
      <c r="D13" s="273"/>
      <c r="E13" s="274" t="s">
        <v>279</v>
      </c>
      <c r="F13" s="274" t="s">
        <v>280</v>
      </c>
      <c r="G13" s="274" t="s">
        <v>281</v>
      </c>
      <c r="H13" s="264"/>
      <c r="I13" s="272"/>
      <c r="J13" s="262"/>
      <c r="K13" s="207"/>
    </row>
    <row r="14" spans="1:11" s="218" customFormat="1" ht="123.75" customHeight="1" x14ac:dyDescent="0.9">
      <c r="B14" s="262"/>
      <c r="C14" s="262"/>
      <c r="D14" s="262"/>
      <c r="E14" s="275">
        <v>24</v>
      </c>
      <c r="F14" s="276">
        <v>200</v>
      </c>
      <c r="G14" s="276">
        <f>+F14*E14</f>
        <v>4800</v>
      </c>
      <c r="H14" s="264"/>
      <c r="I14" s="272"/>
      <c r="J14" s="262"/>
      <c r="K14" s="207"/>
    </row>
    <row r="15" spans="1:11" s="218" customFormat="1" ht="123.75" customHeight="1" x14ac:dyDescent="0.9">
      <c r="B15" s="262"/>
      <c r="C15" s="262"/>
      <c r="D15" s="262"/>
      <c r="E15" s="275">
        <v>75</v>
      </c>
      <c r="F15" s="276">
        <v>100</v>
      </c>
      <c r="G15" s="276">
        <f t="shared" ref="G15:G20" si="1">+F15*E15</f>
        <v>7500</v>
      </c>
      <c r="H15" s="264"/>
      <c r="I15" s="272"/>
      <c r="J15" s="264"/>
      <c r="K15" s="207"/>
    </row>
    <row r="16" spans="1:11" s="218" customFormat="1" ht="123.75" customHeight="1" x14ac:dyDescent="0.9">
      <c r="B16" s="262"/>
      <c r="C16" s="262"/>
      <c r="D16" s="262"/>
      <c r="E16" s="275">
        <v>45</v>
      </c>
      <c r="F16" s="276">
        <v>50</v>
      </c>
      <c r="G16" s="276">
        <f t="shared" si="1"/>
        <v>2250</v>
      </c>
      <c r="H16" s="264"/>
      <c r="I16" s="272"/>
      <c r="J16" s="262"/>
      <c r="K16" s="207"/>
    </row>
    <row r="17" spans="2:11" s="218" customFormat="1" ht="123.75" customHeight="1" x14ac:dyDescent="0.9">
      <c r="B17" s="262"/>
      <c r="C17" s="262"/>
      <c r="D17" s="262"/>
      <c r="E17" s="275">
        <v>21</v>
      </c>
      <c r="F17" s="276">
        <v>20</v>
      </c>
      <c r="G17" s="276">
        <f t="shared" si="1"/>
        <v>420</v>
      </c>
      <c r="H17" s="264"/>
      <c r="I17" s="272"/>
      <c r="J17" s="262"/>
      <c r="K17" s="207"/>
    </row>
    <row r="18" spans="2:11" s="218" customFormat="1" ht="123.75" customHeight="1" x14ac:dyDescent="0.9">
      <c r="B18" s="262"/>
      <c r="C18" s="262"/>
      <c r="D18" s="262"/>
      <c r="E18" s="275">
        <v>66</v>
      </c>
      <c r="F18" s="276">
        <v>10</v>
      </c>
      <c r="G18" s="276">
        <f t="shared" si="1"/>
        <v>660</v>
      </c>
      <c r="H18" s="264"/>
      <c r="I18" s="272"/>
      <c r="J18" s="262"/>
      <c r="K18" s="207"/>
    </row>
    <row r="19" spans="2:11" s="218" customFormat="1" ht="123.75" customHeight="1" x14ac:dyDescent="0.9">
      <c r="B19" s="262"/>
      <c r="C19" s="262"/>
      <c r="D19" s="262"/>
      <c r="E19" s="275">
        <v>6</v>
      </c>
      <c r="F19" s="276">
        <v>5</v>
      </c>
      <c r="G19" s="276">
        <f t="shared" si="1"/>
        <v>30</v>
      </c>
      <c r="H19" s="264"/>
      <c r="I19" s="272"/>
      <c r="J19" s="262"/>
      <c r="K19" s="207"/>
    </row>
    <row r="20" spans="2:11" s="218" customFormat="1" ht="123.75" customHeight="1" thickBot="1" x14ac:dyDescent="0.95">
      <c r="B20" s="262"/>
      <c r="C20" s="262"/>
      <c r="D20" s="262"/>
      <c r="E20" s="277">
        <v>30</v>
      </c>
      <c r="F20" s="278">
        <v>1</v>
      </c>
      <c r="G20" s="278">
        <f t="shared" si="1"/>
        <v>30</v>
      </c>
      <c r="H20" s="264"/>
      <c r="I20" s="272"/>
      <c r="J20" s="262"/>
      <c r="K20" s="207"/>
    </row>
    <row r="21" spans="2:11" s="218" customFormat="1" ht="123.75" customHeight="1" x14ac:dyDescent="0.9">
      <c r="B21" s="262"/>
      <c r="C21" s="262"/>
      <c r="D21" s="262"/>
      <c r="E21" s="279"/>
      <c r="F21" s="280" t="s">
        <v>283</v>
      </c>
      <c r="G21" s="281">
        <f>SUM(G14:G20)</f>
        <v>15690</v>
      </c>
      <c r="H21" s="264"/>
      <c r="I21" s="272"/>
      <c r="J21" s="262"/>
      <c r="K21" s="207"/>
    </row>
    <row r="22" spans="2:11" s="218" customFormat="1" ht="123.75" customHeight="1" x14ac:dyDescent="0.9">
      <c r="B22" s="262"/>
      <c r="C22" s="262"/>
      <c r="D22" s="262"/>
      <c r="E22" s="282"/>
      <c r="F22" s="283" t="s">
        <v>282</v>
      </c>
      <c r="G22" s="284">
        <f ca="1">D11</f>
        <v>15776</v>
      </c>
      <c r="H22" s="264"/>
      <c r="I22" s="272"/>
      <c r="J22" s="262"/>
      <c r="K22" s="207"/>
    </row>
    <row r="23" spans="2:11" s="218" customFormat="1" ht="123.75" customHeight="1" thickBot="1" x14ac:dyDescent="0.95">
      <c r="B23" s="262"/>
      <c r="C23" s="262"/>
      <c r="D23" s="262"/>
      <c r="E23" s="285"/>
      <c r="F23" s="286" t="s">
        <v>284</v>
      </c>
      <c r="G23" s="287">
        <f ca="1">+G21-G22</f>
        <v>-86</v>
      </c>
      <c r="H23" s="264"/>
      <c r="I23" s="272"/>
      <c r="J23" s="262"/>
      <c r="K23" s="207"/>
    </row>
  </sheetData>
  <mergeCells count="2">
    <mergeCell ref="E11:G11"/>
    <mergeCell ref="E12:G12"/>
  </mergeCells>
  <conditionalFormatting sqref="A2:A8">
    <cfRule type="cellIs" dxfId="151" priority="2" operator="equal">
      <formula>#REF!</formula>
    </cfRule>
  </conditionalFormatting>
  <conditionalFormatting sqref="B1:B2 B9:B23">
    <cfRule type="cellIs" dxfId="150" priority="16" operator="equal">
      <formula>#REF!</formula>
    </cfRule>
  </conditionalFormatting>
  <conditionalFormatting sqref="B3">
    <cfRule type="cellIs" dxfId="149" priority="14" operator="equal">
      <formula>#REF!</formula>
    </cfRule>
  </conditionalFormatting>
  <conditionalFormatting sqref="B4:B8">
    <cfRule type="cellIs" dxfId="148" priority="1" operator="equal">
      <formula>#REF!</formula>
    </cfRule>
  </conditionalFormatting>
  <conditionalFormatting sqref="D1:E1">
    <cfRule type="duplicateValues" dxfId="147" priority="15"/>
  </conditionalFormatting>
  <printOptions horizontalCentered="1" verticalCentered="1"/>
  <pageMargins left="0.7" right="0.7" top="0.75" bottom="0.75" header="0.3" footer="0.3"/>
  <pageSetup paperSize="9" scale="10" fitToHeight="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24"/>
  <sheetViews>
    <sheetView rightToLeft="1" view="pageBreakPreview" topLeftCell="B1" zoomScale="10" zoomScaleNormal="25" zoomScaleSheetLayoutView="10" workbookViewId="0">
      <pane ySplit="1" topLeftCell="A5" activePane="bottomLeft" state="frozen"/>
      <selection activeCell="B1" sqref="B1"/>
      <selection pane="bottomLeft" activeCell="D11" sqref="D11"/>
    </sheetView>
  </sheetViews>
  <sheetFormatPr defaultColWidth="9" defaultRowHeight="46.5" x14ac:dyDescent="0.7"/>
  <cols>
    <col min="1" max="1" width="7.42578125" style="153" hidden="1" customWidth="1"/>
    <col min="2" max="2" width="79" style="153" customWidth="1"/>
    <col min="3" max="3" width="121.7109375" style="153" bestFit="1" customWidth="1"/>
    <col min="4" max="4" width="109.28515625" style="153" bestFit="1" customWidth="1"/>
    <col min="5" max="5" width="121.7109375" style="153" bestFit="1" customWidth="1"/>
    <col min="6" max="6" width="109.28515625" style="153" bestFit="1" customWidth="1"/>
    <col min="7" max="7" width="120.28515625" style="153" customWidth="1"/>
    <col min="8" max="8" width="115.42578125" style="153" customWidth="1"/>
    <col min="9" max="9" width="183.140625" style="153" customWidth="1"/>
    <col min="10" max="10" width="234.42578125" style="153" customWidth="1"/>
    <col min="11" max="11" width="75.140625" style="153" customWidth="1"/>
    <col min="12" max="16384" width="9" style="153"/>
  </cols>
  <sheetData>
    <row r="1" spans="1:11" s="250" customFormat="1" ht="225" customHeight="1" thickBot="1" x14ac:dyDescent="1.4">
      <c r="A1" s="129"/>
      <c r="B1" s="246" t="s">
        <v>132</v>
      </c>
      <c r="C1" s="247" t="s">
        <v>1</v>
      </c>
      <c r="D1" s="248" t="s">
        <v>86</v>
      </c>
      <c r="E1" s="248" t="s">
        <v>163</v>
      </c>
      <c r="F1" s="249" t="s">
        <v>2</v>
      </c>
      <c r="G1" s="249" t="s">
        <v>3</v>
      </c>
      <c r="H1" s="249" t="s">
        <v>4</v>
      </c>
      <c r="I1" s="248" t="s">
        <v>92</v>
      </c>
      <c r="J1" s="248" t="s">
        <v>6</v>
      </c>
      <c r="K1" s="248" t="s">
        <v>7</v>
      </c>
    </row>
    <row r="2" spans="1:11" ht="285" customHeight="1" x14ac:dyDescent="0.7">
      <c r="A2" s="256" t="s">
        <v>114</v>
      </c>
      <c r="B2" s="262"/>
      <c r="C2" s="263"/>
      <c r="D2" s="262"/>
      <c r="E2" s="262"/>
      <c r="F2" s="264"/>
      <c r="G2" s="264"/>
      <c r="H2" s="265">
        <v>15776</v>
      </c>
      <c r="I2" s="265" t="s">
        <v>129</v>
      </c>
      <c r="J2" s="262"/>
      <c r="K2" s="207"/>
    </row>
    <row r="3" spans="1:11" ht="285" customHeight="1" x14ac:dyDescent="0.7">
      <c r="A3" s="214" t="s">
        <v>113</v>
      </c>
      <c r="B3" s="266" t="s">
        <v>113</v>
      </c>
      <c r="C3" s="267">
        <v>45222</v>
      </c>
      <c r="D3" s="266">
        <v>1650</v>
      </c>
      <c r="E3" s="266"/>
      <c r="F3" s="268"/>
      <c r="G3" s="268">
        <v>100</v>
      </c>
      <c r="H3" s="268">
        <f>+H2+F3-G3</f>
        <v>15676</v>
      </c>
      <c r="I3" s="266" t="s">
        <v>225</v>
      </c>
      <c r="J3" s="266"/>
      <c r="K3" s="206"/>
    </row>
    <row r="4" spans="1:11" ht="285" customHeight="1" x14ac:dyDescent="0.7">
      <c r="A4" s="207"/>
      <c r="B4" s="262" t="s">
        <v>113</v>
      </c>
      <c r="C4" s="263">
        <v>45222</v>
      </c>
      <c r="D4" s="262">
        <v>1651</v>
      </c>
      <c r="E4" s="262"/>
      <c r="F4" s="264"/>
      <c r="G4" s="264">
        <v>500</v>
      </c>
      <c r="H4" s="265">
        <f t="shared" ref="H4:H8" si="0">+H3+F4-G4</f>
        <v>15176</v>
      </c>
      <c r="I4" s="265" t="s">
        <v>72</v>
      </c>
      <c r="J4" s="262" t="s">
        <v>224</v>
      </c>
      <c r="K4" s="207"/>
    </row>
    <row r="5" spans="1:11" ht="285" customHeight="1" x14ac:dyDescent="0.7">
      <c r="A5" s="206"/>
      <c r="B5" s="266" t="s">
        <v>113</v>
      </c>
      <c r="C5" s="267">
        <v>45222</v>
      </c>
      <c r="D5" s="266">
        <v>1652</v>
      </c>
      <c r="E5" s="266"/>
      <c r="F5" s="268"/>
      <c r="G5" s="268">
        <v>7040</v>
      </c>
      <c r="H5" s="268">
        <f t="shared" si="0"/>
        <v>8136</v>
      </c>
      <c r="I5" s="266" t="s">
        <v>152</v>
      </c>
      <c r="J5" s="266" t="s">
        <v>395</v>
      </c>
      <c r="K5" s="206"/>
    </row>
    <row r="6" spans="1:11" ht="285" customHeight="1" x14ac:dyDescent="0.7">
      <c r="A6" s="207"/>
      <c r="B6" s="262" t="s">
        <v>113</v>
      </c>
      <c r="C6" s="263"/>
      <c r="D6" s="262"/>
      <c r="E6" s="262">
        <v>1194</v>
      </c>
      <c r="F6" s="264">
        <v>360000</v>
      </c>
      <c r="G6" s="264"/>
      <c r="H6" s="265">
        <f t="shared" si="0"/>
        <v>368136</v>
      </c>
      <c r="I6" s="265" t="s">
        <v>174</v>
      </c>
      <c r="J6" s="270" t="s">
        <v>396</v>
      </c>
      <c r="K6" s="207"/>
    </row>
    <row r="7" spans="1:11" ht="285" customHeight="1" x14ac:dyDescent="0.7">
      <c r="A7" s="207"/>
      <c r="B7" s="262" t="s">
        <v>113</v>
      </c>
      <c r="C7" s="263"/>
      <c r="D7" s="266">
        <v>1653</v>
      </c>
      <c r="E7" s="266"/>
      <c r="F7" s="268"/>
      <c r="G7" s="268">
        <v>1870</v>
      </c>
      <c r="H7" s="265">
        <f t="shared" si="0"/>
        <v>366266</v>
      </c>
      <c r="I7" s="266" t="s">
        <v>72</v>
      </c>
      <c r="J7" s="269" t="s">
        <v>397</v>
      </c>
      <c r="K7" s="207"/>
    </row>
    <row r="8" spans="1:11" ht="285" customHeight="1" x14ac:dyDescent="0.7">
      <c r="A8" s="206"/>
      <c r="B8" s="266" t="s">
        <v>113</v>
      </c>
      <c r="C8" s="267"/>
      <c r="D8" s="266">
        <v>1654</v>
      </c>
      <c r="E8" s="266"/>
      <c r="F8" s="268"/>
      <c r="G8" s="268">
        <v>1625</v>
      </c>
      <c r="H8" s="265">
        <f t="shared" si="0"/>
        <v>364641</v>
      </c>
      <c r="I8" s="266" t="s">
        <v>72</v>
      </c>
      <c r="J8" s="269" t="s">
        <v>398</v>
      </c>
      <c r="K8" s="206"/>
    </row>
    <row r="9" spans="1:11" s="293" customFormat="1" ht="24.75" customHeight="1" thickBot="1" x14ac:dyDescent="0.75">
      <c r="A9" s="288"/>
      <c r="B9" s="289"/>
      <c r="C9" s="290"/>
      <c r="D9" s="289"/>
      <c r="E9" s="289"/>
      <c r="F9" s="291"/>
      <c r="G9" s="291"/>
      <c r="H9" s="291"/>
      <c r="I9" s="289"/>
      <c r="J9" s="292"/>
      <c r="K9" s="288"/>
    </row>
    <row r="10" spans="1:11" ht="269.25" customHeight="1" thickTop="1" x14ac:dyDescent="0.7">
      <c r="B10" s="270"/>
      <c r="C10" s="136" t="s">
        <v>127</v>
      </c>
      <c r="D10" s="137" t="s">
        <v>115</v>
      </c>
      <c r="E10" s="137" t="s">
        <v>179</v>
      </c>
      <c r="F10" s="137" t="s">
        <v>116</v>
      </c>
      <c r="G10" s="138" t="s">
        <v>180</v>
      </c>
      <c r="H10" s="139" t="s">
        <v>211</v>
      </c>
      <c r="I10" s="271"/>
      <c r="J10" s="150"/>
      <c r="K10" s="257"/>
    </row>
    <row r="11" spans="1:11" ht="339.75" customHeight="1" thickBot="1" x14ac:dyDescent="0.75">
      <c r="B11" s="262"/>
      <c r="C11" s="140">
        <f>$H$2</f>
        <v>15776</v>
      </c>
      <c r="D11" s="141">
        <f ca="1">SUMIF(B3:B9,A3,F3:F$8)</f>
        <v>360000</v>
      </c>
      <c r="E11" s="141">
        <f>SUMIF(B2:B9,A3,G2:$G$9)</f>
        <v>11135</v>
      </c>
      <c r="F11" s="141">
        <f>SUMIF(B2:B9,A2,F2:$F$9)</f>
        <v>0</v>
      </c>
      <c r="G11" s="141">
        <f>SUMIF(B2:B9,A2,G2:$G$9)</f>
        <v>0</v>
      </c>
      <c r="H11" s="142">
        <f ca="1">+C11+D11+F11-E11-G11</f>
        <v>364641</v>
      </c>
      <c r="I11" s="272"/>
      <c r="J11" s="143"/>
      <c r="K11" s="258"/>
    </row>
    <row r="12" spans="1:11" ht="222" customHeight="1" thickTop="1" x14ac:dyDescent="0.7">
      <c r="B12" s="262"/>
      <c r="C12" s="262"/>
      <c r="D12" s="259">
        <f ca="1">+C11+D11-E11</f>
        <v>364641</v>
      </c>
      <c r="E12" s="566" t="s">
        <v>181</v>
      </c>
      <c r="F12" s="566"/>
      <c r="G12" s="566"/>
      <c r="H12" s="264"/>
      <c r="I12" s="272"/>
      <c r="J12" s="262"/>
      <c r="K12" s="207"/>
    </row>
    <row r="13" spans="1:11" s="218" customFormat="1" ht="117.75" customHeight="1" x14ac:dyDescent="0.9">
      <c r="B13" s="262"/>
      <c r="C13" s="262"/>
      <c r="D13" s="273"/>
      <c r="E13" s="567" t="s">
        <v>278</v>
      </c>
      <c r="F13" s="567"/>
      <c r="G13" s="567"/>
      <c r="H13" s="264"/>
      <c r="I13" s="272"/>
      <c r="J13" s="262"/>
      <c r="K13" s="207"/>
    </row>
    <row r="14" spans="1:11" s="218" customFormat="1" ht="117.75" customHeight="1" x14ac:dyDescent="0.9">
      <c r="B14" s="262"/>
      <c r="C14" s="262"/>
      <c r="D14" s="273"/>
      <c r="E14" s="274" t="s">
        <v>279</v>
      </c>
      <c r="F14" s="274" t="s">
        <v>280</v>
      </c>
      <c r="G14" s="274" t="s">
        <v>281</v>
      </c>
      <c r="H14" s="264"/>
      <c r="I14" s="272"/>
      <c r="J14" s="262"/>
      <c r="K14" s="207"/>
    </row>
    <row r="15" spans="1:11" s="218" customFormat="1" ht="123.75" customHeight="1" x14ac:dyDescent="0.9">
      <c r="B15" s="262"/>
      <c r="C15" s="262"/>
      <c r="D15" s="262"/>
      <c r="E15" s="275">
        <f>1500+100+50</f>
        <v>1650</v>
      </c>
      <c r="F15" s="276">
        <v>200</v>
      </c>
      <c r="G15" s="276">
        <f>+F15*E15</f>
        <v>330000</v>
      </c>
      <c r="H15" s="264"/>
      <c r="I15" s="272"/>
      <c r="J15" s="262"/>
      <c r="K15" s="207"/>
    </row>
    <row r="16" spans="1:11" s="218" customFormat="1" ht="123.75" customHeight="1" x14ac:dyDescent="0.9">
      <c r="B16" s="262"/>
      <c r="C16" s="262"/>
      <c r="D16" s="262"/>
      <c r="E16" s="275">
        <v>325</v>
      </c>
      <c r="F16" s="276">
        <v>100</v>
      </c>
      <c r="G16" s="276">
        <f t="shared" ref="G16:G21" si="1">+F16*E16</f>
        <v>32500</v>
      </c>
      <c r="H16" s="264"/>
      <c r="I16" s="272"/>
      <c r="J16" s="264"/>
      <c r="K16" s="207"/>
    </row>
    <row r="17" spans="2:11" s="218" customFormat="1" ht="123.75" customHeight="1" x14ac:dyDescent="0.9">
      <c r="B17" s="262"/>
      <c r="C17" s="262"/>
      <c r="D17" s="262"/>
      <c r="E17" s="275"/>
      <c r="F17" s="276">
        <v>50</v>
      </c>
      <c r="G17" s="276">
        <f t="shared" si="1"/>
        <v>0</v>
      </c>
      <c r="H17" s="264"/>
      <c r="I17" s="272"/>
      <c r="J17" s="262"/>
      <c r="K17" s="207"/>
    </row>
    <row r="18" spans="2:11" s="218" customFormat="1" ht="123.75" customHeight="1" x14ac:dyDescent="0.9">
      <c r="B18" s="262"/>
      <c r="C18" s="262"/>
      <c r="D18" s="262"/>
      <c r="E18" s="275">
        <v>1</v>
      </c>
      <c r="F18" s="276">
        <v>20</v>
      </c>
      <c r="G18" s="276">
        <f t="shared" si="1"/>
        <v>20</v>
      </c>
      <c r="H18" s="264"/>
      <c r="I18" s="272"/>
      <c r="J18" s="262"/>
      <c r="K18" s="207"/>
    </row>
    <row r="19" spans="2:11" s="218" customFormat="1" ht="123.75" customHeight="1" x14ac:dyDescent="0.9">
      <c r="B19" s="262"/>
      <c r="C19" s="262"/>
      <c r="D19" s="262"/>
      <c r="E19" s="275">
        <v>200</v>
      </c>
      <c r="F19" s="276">
        <v>10</v>
      </c>
      <c r="G19" s="276">
        <f t="shared" si="1"/>
        <v>2000</v>
      </c>
      <c r="H19" s="264"/>
      <c r="I19" s="272"/>
      <c r="J19" s="262"/>
      <c r="K19" s="207"/>
    </row>
    <row r="20" spans="2:11" s="218" customFormat="1" ht="123.75" customHeight="1" x14ac:dyDescent="0.9">
      <c r="B20" s="262"/>
      <c r="C20" s="262"/>
      <c r="D20" s="262"/>
      <c r="E20" s="275">
        <v>1</v>
      </c>
      <c r="F20" s="276">
        <v>5</v>
      </c>
      <c r="G20" s="276">
        <f t="shared" si="1"/>
        <v>5</v>
      </c>
      <c r="H20" s="264"/>
      <c r="I20" s="272"/>
      <c r="J20" s="262"/>
      <c r="K20" s="207"/>
    </row>
    <row r="21" spans="2:11" s="218" customFormat="1" ht="123.75" customHeight="1" thickBot="1" x14ac:dyDescent="0.95">
      <c r="B21" s="262"/>
      <c r="C21" s="262"/>
      <c r="D21" s="262"/>
      <c r="E21" s="277">
        <v>30</v>
      </c>
      <c r="F21" s="278">
        <v>1</v>
      </c>
      <c r="G21" s="278">
        <f t="shared" si="1"/>
        <v>30</v>
      </c>
      <c r="H21" s="264"/>
      <c r="I21" s="272"/>
      <c r="J21" s="262"/>
      <c r="K21" s="207"/>
    </row>
    <row r="22" spans="2:11" s="218" customFormat="1" ht="123.75" customHeight="1" x14ac:dyDescent="0.9">
      <c r="B22" s="262"/>
      <c r="C22" s="262"/>
      <c r="D22" s="262"/>
      <c r="E22" s="279"/>
      <c r="F22" s="280" t="s">
        <v>283</v>
      </c>
      <c r="G22" s="281">
        <f>SUM(G15:G21)</f>
        <v>364555</v>
      </c>
      <c r="H22" s="264"/>
      <c r="I22" s="272"/>
      <c r="J22" s="262"/>
      <c r="K22" s="207"/>
    </row>
    <row r="23" spans="2:11" s="218" customFormat="1" ht="123.75" customHeight="1" x14ac:dyDescent="0.9">
      <c r="B23" s="262"/>
      <c r="C23" s="262"/>
      <c r="D23" s="262"/>
      <c r="E23" s="282"/>
      <c r="F23" s="283" t="s">
        <v>282</v>
      </c>
      <c r="G23" s="284">
        <f ca="1">D12</f>
        <v>364641</v>
      </c>
      <c r="H23" s="264"/>
      <c r="I23" s="272"/>
      <c r="J23" s="262"/>
      <c r="K23" s="207"/>
    </row>
    <row r="24" spans="2:11" s="218" customFormat="1" ht="123.75" customHeight="1" thickBot="1" x14ac:dyDescent="0.95">
      <c r="B24" s="262"/>
      <c r="C24" s="262"/>
      <c r="D24" s="262"/>
      <c r="E24" s="285"/>
      <c r="F24" s="286" t="s">
        <v>284</v>
      </c>
      <c r="G24" s="287">
        <f ca="1">+G22-G23</f>
        <v>-86</v>
      </c>
      <c r="H24" s="264"/>
      <c r="I24" s="272"/>
      <c r="J24" s="262"/>
      <c r="K24" s="207"/>
    </row>
  </sheetData>
  <mergeCells count="2">
    <mergeCell ref="E12:G12"/>
    <mergeCell ref="E13:G13"/>
  </mergeCells>
  <conditionalFormatting sqref="A2:A9">
    <cfRule type="cellIs" dxfId="146" priority="2" operator="equal">
      <formula>#REF!</formula>
    </cfRule>
  </conditionalFormatting>
  <conditionalFormatting sqref="B1:B2 B10:B24">
    <cfRule type="cellIs" dxfId="145" priority="10" operator="equal">
      <formula>#REF!</formula>
    </cfRule>
  </conditionalFormatting>
  <conditionalFormatting sqref="B3">
    <cfRule type="cellIs" dxfId="144" priority="8" operator="equal">
      <formula>#REF!</formula>
    </cfRule>
  </conditionalFormatting>
  <conditionalFormatting sqref="B4:B9">
    <cfRule type="cellIs" dxfId="143" priority="1" operator="equal">
      <formula>#REF!</formula>
    </cfRule>
  </conditionalFormatting>
  <conditionalFormatting sqref="D1:E1">
    <cfRule type="duplicateValues" dxfId="142" priority="9"/>
  </conditionalFormatting>
  <printOptions horizontalCentered="1" verticalCentered="1"/>
  <pageMargins left="0.7" right="0.7" top="0.75" bottom="0.75" header="0.3" footer="0.3"/>
  <pageSetup paperSize="9" scale="10" fitToHeight="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30"/>
  <sheetViews>
    <sheetView rightToLeft="1" view="pageBreakPreview" topLeftCell="B1" zoomScale="25" zoomScaleNormal="25" zoomScaleSheetLayoutView="25" workbookViewId="0">
      <pane ySplit="1" topLeftCell="A6" activePane="bottomLeft" state="frozen"/>
      <selection activeCell="B1" sqref="B1"/>
      <selection pane="bottomLeft" activeCell="I7" sqref="I7"/>
    </sheetView>
  </sheetViews>
  <sheetFormatPr defaultColWidth="9" defaultRowHeight="46.5" x14ac:dyDescent="0.7"/>
  <cols>
    <col min="1" max="1" width="10" style="153" hidden="1" customWidth="1"/>
    <col min="2" max="2" width="33" style="153" customWidth="1"/>
    <col min="3" max="8" width="62.42578125" style="153" customWidth="1"/>
    <col min="9" max="9" width="75.42578125" style="153" customWidth="1"/>
    <col min="10" max="10" width="83" style="153" customWidth="1"/>
    <col min="11" max="11" width="75.140625" style="153" customWidth="1"/>
    <col min="12" max="16384" width="9" style="153"/>
  </cols>
  <sheetData>
    <row r="1" spans="1:11" s="218" customFormat="1" ht="114" customHeight="1" thickBot="1" x14ac:dyDescent="0.95">
      <c r="A1" s="112"/>
      <c r="B1" s="317" t="s">
        <v>132</v>
      </c>
      <c r="C1" s="318" t="s">
        <v>1</v>
      </c>
      <c r="D1" s="319" t="s">
        <v>86</v>
      </c>
      <c r="E1" s="319" t="s">
        <v>163</v>
      </c>
      <c r="F1" s="320" t="s">
        <v>2</v>
      </c>
      <c r="G1" s="320" t="s">
        <v>3</v>
      </c>
      <c r="H1" s="320" t="s">
        <v>4</v>
      </c>
      <c r="I1" s="319" t="s">
        <v>92</v>
      </c>
      <c r="J1" s="319" t="s">
        <v>6</v>
      </c>
      <c r="K1" s="319" t="s">
        <v>7</v>
      </c>
    </row>
    <row r="2" spans="1:11" ht="102.75" customHeight="1" x14ac:dyDescent="0.7">
      <c r="A2" s="299" t="s">
        <v>114</v>
      </c>
      <c r="B2" s="181"/>
      <c r="C2" s="200"/>
      <c r="D2" s="181"/>
      <c r="E2" s="181"/>
      <c r="F2" s="183"/>
      <c r="G2" s="183"/>
      <c r="H2" s="201">
        <v>364641</v>
      </c>
      <c r="I2" s="201" t="s">
        <v>129</v>
      </c>
      <c r="J2" s="181"/>
      <c r="K2" s="207"/>
    </row>
    <row r="3" spans="1:11" ht="102.75" customHeight="1" x14ac:dyDescent="0.7">
      <c r="A3" s="316" t="s">
        <v>113</v>
      </c>
      <c r="B3" s="199" t="s">
        <v>113</v>
      </c>
      <c r="C3" s="294">
        <v>45223</v>
      </c>
      <c r="D3" s="199"/>
      <c r="E3" s="199"/>
      <c r="F3" s="295">
        <v>100000</v>
      </c>
      <c r="G3" s="295"/>
      <c r="H3" s="295">
        <f>+H2+F3-G3</f>
        <v>464641</v>
      </c>
      <c r="I3" s="199" t="s">
        <v>399</v>
      </c>
      <c r="J3" s="199"/>
      <c r="K3" s="206"/>
    </row>
    <row r="4" spans="1:11" ht="102.75" customHeight="1" x14ac:dyDescent="0.7">
      <c r="A4" s="181"/>
      <c r="B4" s="181" t="s">
        <v>113</v>
      </c>
      <c r="C4" s="200">
        <v>45223</v>
      </c>
      <c r="D4" s="181">
        <v>1655</v>
      </c>
      <c r="E4" s="181"/>
      <c r="F4" s="183"/>
      <c r="G4" s="183">
        <v>100000</v>
      </c>
      <c r="H4" s="201">
        <f t="shared" ref="H4:H14" si="0">+H3+F4-G4</f>
        <v>364641</v>
      </c>
      <c r="I4" s="201" t="s">
        <v>356</v>
      </c>
      <c r="J4" s="184" t="s">
        <v>400</v>
      </c>
      <c r="K4" s="207"/>
    </row>
    <row r="5" spans="1:11" ht="102.75" customHeight="1" x14ac:dyDescent="0.7">
      <c r="A5" s="316"/>
      <c r="B5" s="199" t="s">
        <v>113</v>
      </c>
      <c r="C5" s="294">
        <v>45223</v>
      </c>
      <c r="D5" s="199">
        <v>1656</v>
      </c>
      <c r="E5" s="199"/>
      <c r="F5" s="295"/>
      <c r="G5" s="295">
        <v>50000</v>
      </c>
      <c r="H5" s="295">
        <f t="shared" si="0"/>
        <v>314641</v>
      </c>
      <c r="I5" s="199" t="s">
        <v>315</v>
      </c>
      <c r="J5" s="199" t="s">
        <v>316</v>
      </c>
      <c r="K5" s="206"/>
    </row>
    <row r="6" spans="1:11" ht="102.75" customHeight="1" x14ac:dyDescent="0.7">
      <c r="A6" s="181"/>
      <c r="B6" s="181" t="s">
        <v>113</v>
      </c>
      <c r="C6" s="200">
        <v>45223</v>
      </c>
      <c r="D6" s="181">
        <v>1657</v>
      </c>
      <c r="E6" s="181"/>
      <c r="F6" s="183"/>
      <c r="G6" s="183">
        <v>20000</v>
      </c>
      <c r="H6" s="201">
        <f t="shared" si="0"/>
        <v>294641</v>
      </c>
      <c r="I6" s="201" t="s">
        <v>401</v>
      </c>
      <c r="J6" s="184" t="s">
        <v>402</v>
      </c>
      <c r="K6" s="207"/>
    </row>
    <row r="7" spans="1:11" ht="102.75" customHeight="1" x14ac:dyDescent="0.7">
      <c r="A7" s="316"/>
      <c r="B7" s="199" t="s">
        <v>113</v>
      </c>
      <c r="C7" s="294">
        <v>45223</v>
      </c>
      <c r="D7" s="199">
        <v>1658</v>
      </c>
      <c r="E7" s="199"/>
      <c r="F7" s="295"/>
      <c r="G7" s="295">
        <v>200000</v>
      </c>
      <c r="H7" s="295">
        <f t="shared" si="0"/>
        <v>94641</v>
      </c>
      <c r="I7" s="199" t="s">
        <v>405</v>
      </c>
      <c r="J7" s="199" t="s">
        <v>406</v>
      </c>
      <c r="K7" s="206"/>
    </row>
    <row r="8" spans="1:11" ht="102.75" customHeight="1" x14ac:dyDescent="0.7">
      <c r="A8" s="181"/>
      <c r="B8" s="181" t="s">
        <v>113</v>
      </c>
      <c r="C8" s="200">
        <v>45223</v>
      </c>
      <c r="D8" s="181">
        <v>1659</v>
      </c>
      <c r="E8" s="181"/>
      <c r="F8" s="183"/>
      <c r="G8" s="183">
        <v>300</v>
      </c>
      <c r="H8" s="201">
        <f t="shared" si="0"/>
        <v>94341</v>
      </c>
      <c r="I8" s="201" t="s">
        <v>72</v>
      </c>
      <c r="J8" s="184" t="s">
        <v>407</v>
      </c>
      <c r="K8" s="207"/>
    </row>
    <row r="9" spans="1:11" ht="102.75" customHeight="1" x14ac:dyDescent="0.7">
      <c r="A9" s="316"/>
      <c r="B9" s="199" t="s">
        <v>113</v>
      </c>
      <c r="C9" s="294">
        <v>45223</v>
      </c>
      <c r="D9" s="199">
        <v>1660</v>
      </c>
      <c r="E9" s="199"/>
      <c r="F9" s="295"/>
      <c r="G9" s="295">
        <v>40000</v>
      </c>
      <c r="H9" s="295">
        <f t="shared" si="0"/>
        <v>54341</v>
      </c>
      <c r="I9" s="199" t="s">
        <v>71</v>
      </c>
      <c r="J9" s="199" t="s">
        <v>224</v>
      </c>
      <c r="K9" s="206"/>
    </row>
    <row r="10" spans="1:11" ht="102.75" customHeight="1" x14ac:dyDescent="0.7">
      <c r="A10" s="181"/>
      <c r="B10" s="181" t="s">
        <v>113</v>
      </c>
      <c r="C10" s="200">
        <v>45223</v>
      </c>
      <c r="D10" s="181">
        <v>1661</v>
      </c>
      <c r="E10" s="181"/>
      <c r="F10" s="183"/>
      <c r="G10" s="183">
        <v>150</v>
      </c>
      <c r="H10" s="201">
        <f t="shared" si="0"/>
        <v>54191</v>
      </c>
      <c r="I10" s="201" t="s">
        <v>225</v>
      </c>
      <c r="J10" s="184" t="s">
        <v>224</v>
      </c>
      <c r="K10" s="207"/>
    </row>
    <row r="11" spans="1:11" ht="102.75" customHeight="1" x14ac:dyDescent="0.7">
      <c r="A11" s="316"/>
      <c r="B11" s="199" t="s">
        <v>113</v>
      </c>
      <c r="C11" s="294">
        <v>45223</v>
      </c>
      <c r="D11" s="199">
        <v>1662</v>
      </c>
      <c r="E11" s="199"/>
      <c r="F11" s="295"/>
      <c r="G11" s="295">
        <v>20000</v>
      </c>
      <c r="H11" s="295">
        <f t="shared" si="0"/>
        <v>34191</v>
      </c>
      <c r="I11" s="199" t="s">
        <v>335</v>
      </c>
      <c r="J11" s="199" t="s">
        <v>316</v>
      </c>
      <c r="K11" s="206"/>
    </row>
    <row r="12" spans="1:11" ht="102.75" customHeight="1" x14ac:dyDescent="0.7">
      <c r="A12" s="181"/>
      <c r="B12" s="181" t="s">
        <v>113</v>
      </c>
      <c r="C12" s="200">
        <v>45223</v>
      </c>
      <c r="D12" s="181"/>
      <c r="E12" s="181"/>
      <c r="F12" s="183">
        <v>784</v>
      </c>
      <c r="G12" s="183"/>
      <c r="H12" s="201">
        <f t="shared" si="0"/>
        <v>34975</v>
      </c>
      <c r="I12" s="201" t="s">
        <v>404</v>
      </c>
      <c r="J12" s="184"/>
      <c r="K12" s="207"/>
    </row>
    <row r="13" spans="1:11" ht="102.75" customHeight="1" x14ac:dyDescent="0.7">
      <c r="A13" s="316"/>
      <c r="B13" s="199" t="s">
        <v>113</v>
      </c>
      <c r="C13" s="294">
        <v>45223</v>
      </c>
      <c r="D13" s="199"/>
      <c r="E13" s="199"/>
      <c r="F13" s="295">
        <v>1619</v>
      </c>
      <c r="G13" s="295"/>
      <c r="H13" s="295">
        <f t="shared" si="0"/>
        <v>36594</v>
      </c>
      <c r="I13" s="199" t="s">
        <v>403</v>
      </c>
      <c r="J13" s="199"/>
      <c r="K13" s="206"/>
    </row>
    <row r="14" spans="1:11" s="325" customFormat="1" ht="102.75" customHeight="1" x14ac:dyDescent="0.7">
      <c r="A14" s="321"/>
      <c r="B14" s="322" t="s">
        <v>113</v>
      </c>
      <c r="C14" s="200"/>
      <c r="D14" s="322"/>
      <c r="E14" s="322"/>
      <c r="F14" s="323"/>
      <c r="G14" s="323"/>
      <c r="H14" s="323">
        <f t="shared" si="0"/>
        <v>36594</v>
      </c>
      <c r="I14" s="322"/>
      <c r="J14" s="322"/>
      <c r="K14" s="324"/>
    </row>
    <row r="15" spans="1:11" s="293" customFormat="1" ht="12.75" customHeight="1" thickBot="1" x14ac:dyDescent="0.75">
      <c r="A15" s="296"/>
      <c r="B15" s="296"/>
      <c r="C15" s="297"/>
      <c r="D15" s="296"/>
      <c r="E15" s="296"/>
      <c r="F15" s="298"/>
      <c r="G15" s="298"/>
      <c r="H15" s="298"/>
      <c r="I15" s="296"/>
      <c r="J15" s="314"/>
      <c r="K15" s="288"/>
    </row>
    <row r="16" spans="1:11" ht="102.75" customHeight="1" thickTop="1" x14ac:dyDescent="0.7">
      <c r="B16" s="299"/>
      <c r="C16" s="109" t="s">
        <v>127</v>
      </c>
      <c r="D16" s="110" t="s">
        <v>115</v>
      </c>
      <c r="E16" s="110" t="s">
        <v>179</v>
      </c>
      <c r="F16" s="110" t="s">
        <v>116</v>
      </c>
      <c r="G16" s="100" t="s">
        <v>180</v>
      </c>
      <c r="H16" s="111" t="s">
        <v>211</v>
      </c>
      <c r="I16" s="300"/>
      <c r="J16" s="315"/>
      <c r="K16" s="257"/>
    </row>
    <row r="17" spans="1:11" ht="123.75" customHeight="1" thickBot="1" x14ac:dyDescent="0.75">
      <c r="B17" s="181"/>
      <c r="C17" s="102">
        <f>$H$2</f>
        <v>364641</v>
      </c>
      <c r="D17" s="103">
        <f ca="1">SUMIF(B3:B15,A3,F3:F$14)</f>
        <v>102403</v>
      </c>
      <c r="E17" s="103">
        <f>SUMIF(B2:B15,A3,G2:$G$15)</f>
        <v>430450</v>
      </c>
      <c r="F17" s="103">
        <f>SUMIF(B2:B15,A2,F2:$F$15)</f>
        <v>0</v>
      </c>
      <c r="G17" s="103">
        <f>SUMIF(B2:B15,A2,G2:$G$15)</f>
        <v>0</v>
      </c>
      <c r="H17" s="104">
        <f ca="1">+C17+D17+F17-E17-G17</f>
        <v>36594</v>
      </c>
      <c r="I17" s="184"/>
      <c r="J17" s="105"/>
      <c r="K17" s="258"/>
    </row>
    <row r="18" spans="1:11" ht="102.75" customHeight="1" thickTop="1" x14ac:dyDescent="0.7">
      <c r="B18" s="181"/>
      <c r="C18" s="181"/>
      <c r="D18" s="301">
        <f ca="1">+C17+D17-E17</f>
        <v>36594</v>
      </c>
      <c r="E18" s="562" t="s">
        <v>181</v>
      </c>
      <c r="F18" s="562"/>
      <c r="G18" s="562"/>
      <c r="H18" s="183"/>
      <c r="I18" s="184"/>
      <c r="J18" s="181"/>
      <c r="K18" s="207"/>
    </row>
    <row r="19" spans="1:11" s="218" customFormat="1" ht="102.75" customHeight="1" x14ac:dyDescent="0.9">
      <c r="A19" s="153"/>
      <c r="B19" s="181"/>
      <c r="C19" s="181"/>
      <c r="D19" s="182"/>
      <c r="E19" s="568" t="s">
        <v>278</v>
      </c>
      <c r="F19" s="568"/>
      <c r="G19" s="568"/>
      <c r="H19" s="183"/>
      <c r="I19" s="184"/>
      <c r="J19" s="181"/>
      <c r="K19" s="207"/>
    </row>
    <row r="20" spans="1:11" s="218" customFormat="1" ht="102.75" customHeight="1" x14ac:dyDescent="0.9">
      <c r="A20" s="153"/>
      <c r="B20" s="181"/>
      <c r="C20" s="181"/>
      <c r="D20" s="182"/>
      <c r="E20" s="302" t="s">
        <v>279</v>
      </c>
      <c r="F20" s="302" t="s">
        <v>280</v>
      </c>
      <c r="G20" s="302" t="s">
        <v>281</v>
      </c>
      <c r="H20" s="183"/>
      <c r="I20" s="184"/>
      <c r="J20" s="181"/>
      <c r="K20" s="207"/>
    </row>
    <row r="21" spans="1:11" s="218" customFormat="1" ht="102.75" customHeight="1" x14ac:dyDescent="0.9">
      <c r="A21" s="153"/>
      <c r="B21" s="181"/>
      <c r="C21" s="181"/>
      <c r="D21" s="181"/>
      <c r="E21" s="185">
        <f>150+15</f>
        <v>165</v>
      </c>
      <c r="F21" s="186">
        <v>200</v>
      </c>
      <c r="G21" s="186">
        <f>+F21*E21</f>
        <v>33000</v>
      </c>
      <c r="H21" s="183"/>
      <c r="I21" s="184"/>
      <c r="J21" s="181"/>
      <c r="K21" s="207"/>
    </row>
    <row r="22" spans="1:11" s="218" customFormat="1" ht="102.75" customHeight="1" x14ac:dyDescent="0.9">
      <c r="A22" s="153"/>
      <c r="B22" s="181"/>
      <c r="C22" s="181"/>
      <c r="D22" s="181"/>
      <c r="E22" s="185">
        <v>33</v>
      </c>
      <c r="F22" s="186">
        <v>100</v>
      </c>
      <c r="G22" s="186">
        <f t="shared" ref="G22:G27" si="1">+F22*E22</f>
        <v>3300</v>
      </c>
      <c r="H22" s="183"/>
      <c r="I22" s="184"/>
      <c r="J22" s="183"/>
      <c r="K22" s="207"/>
    </row>
    <row r="23" spans="1:11" s="218" customFormat="1" ht="102.75" customHeight="1" x14ac:dyDescent="0.9">
      <c r="A23" s="153"/>
      <c r="B23" s="181"/>
      <c r="C23" s="181"/>
      <c r="D23" s="181"/>
      <c r="E23" s="185"/>
      <c r="F23" s="186">
        <v>50</v>
      </c>
      <c r="G23" s="186">
        <f t="shared" si="1"/>
        <v>0</v>
      </c>
      <c r="H23" s="183"/>
      <c r="I23" s="184"/>
      <c r="J23" s="181"/>
      <c r="K23" s="207"/>
    </row>
    <row r="24" spans="1:11" s="218" customFormat="1" ht="102.75" customHeight="1" x14ac:dyDescent="0.9">
      <c r="A24" s="153"/>
      <c r="B24" s="181"/>
      <c r="C24" s="181"/>
      <c r="D24" s="181"/>
      <c r="E24" s="185">
        <v>8</v>
      </c>
      <c r="F24" s="186">
        <v>20</v>
      </c>
      <c r="G24" s="186">
        <f t="shared" si="1"/>
        <v>160</v>
      </c>
      <c r="H24" s="183"/>
      <c r="I24" s="184"/>
      <c r="J24" s="181"/>
      <c r="K24" s="207"/>
    </row>
    <row r="25" spans="1:11" s="218" customFormat="1" ht="102.75" customHeight="1" x14ac:dyDescent="0.9">
      <c r="A25" s="153"/>
      <c r="B25" s="181"/>
      <c r="C25" s="181"/>
      <c r="D25" s="181"/>
      <c r="E25" s="185">
        <v>4</v>
      </c>
      <c r="F25" s="186">
        <v>10</v>
      </c>
      <c r="G25" s="186">
        <f t="shared" si="1"/>
        <v>40</v>
      </c>
      <c r="H25" s="183"/>
      <c r="I25" s="184"/>
      <c r="J25" s="181"/>
      <c r="K25" s="207"/>
    </row>
    <row r="26" spans="1:11" s="218" customFormat="1" ht="102.75" customHeight="1" x14ac:dyDescent="0.9">
      <c r="A26" s="153"/>
      <c r="B26" s="181"/>
      <c r="C26" s="181"/>
      <c r="D26" s="181"/>
      <c r="E26" s="185">
        <v>21</v>
      </c>
      <c r="F26" s="186">
        <v>5</v>
      </c>
      <c r="G26" s="186">
        <f t="shared" si="1"/>
        <v>105</v>
      </c>
      <c r="H26" s="183"/>
      <c r="I26" s="184"/>
      <c r="J26" s="181"/>
      <c r="K26" s="207"/>
    </row>
    <row r="27" spans="1:11" s="218" customFormat="1" ht="102.75" customHeight="1" thickBot="1" x14ac:dyDescent="0.95">
      <c r="A27" s="153"/>
      <c r="B27" s="181"/>
      <c r="C27" s="181"/>
      <c r="D27" s="181"/>
      <c r="E27" s="303">
        <v>3</v>
      </c>
      <c r="F27" s="304">
        <v>1</v>
      </c>
      <c r="G27" s="304">
        <f t="shared" si="1"/>
        <v>3</v>
      </c>
      <c r="H27" s="183"/>
      <c r="I27" s="184"/>
      <c r="J27" s="181"/>
      <c r="K27" s="207"/>
    </row>
    <row r="28" spans="1:11" s="218" customFormat="1" ht="102.75" customHeight="1" x14ac:dyDescent="0.9">
      <c r="A28" s="153"/>
      <c r="B28" s="181"/>
      <c r="C28" s="181"/>
      <c r="D28" s="181"/>
      <c r="E28" s="305"/>
      <c r="F28" s="306" t="s">
        <v>283</v>
      </c>
      <c r="G28" s="307">
        <f>SUM(G21:G27)</f>
        <v>36608</v>
      </c>
      <c r="H28" s="183"/>
      <c r="I28" s="184"/>
      <c r="J28" s="181"/>
      <c r="K28" s="207"/>
    </row>
    <row r="29" spans="1:11" s="218" customFormat="1" ht="102.75" customHeight="1" x14ac:dyDescent="0.9">
      <c r="A29" s="153"/>
      <c r="B29" s="181"/>
      <c r="C29" s="181"/>
      <c r="D29" s="181"/>
      <c r="E29" s="308"/>
      <c r="F29" s="309" t="s">
        <v>282</v>
      </c>
      <c r="G29" s="310">
        <f ca="1">D18</f>
        <v>36594</v>
      </c>
      <c r="H29" s="183"/>
      <c r="I29" s="184"/>
      <c r="J29" s="181"/>
      <c r="K29" s="207"/>
    </row>
    <row r="30" spans="1:11" s="218" customFormat="1" ht="102.75" customHeight="1" thickBot="1" x14ac:dyDescent="0.95">
      <c r="A30" s="153"/>
      <c r="B30" s="181"/>
      <c r="C30" s="181"/>
      <c r="D30" s="181"/>
      <c r="E30" s="311"/>
      <c r="F30" s="312" t="s">
        <v>284</v>
      </c>
      <c r="G30" s="313">
        <f ca="1">+G28-G29</f>
        <v>14</v>
      </c>
      <c r="H30" s="183"/>
      <c r="I30" s="184"/>
      <c r="J30" s="181"/>
      <c r="K30" s="207"/>
    </row>
  </sheetData>
  <mergeCells count="2">
    <mergeCell ref="E18:G18"/>
    <mergeCell ref="E19:G19"/>
  </mergeCells>
  <conditionalFormatting sqref="A2:A15">
    <cfRule type="cellIs" dxfId="141" priority="1" operator="equal">
      <formula>#REF!</formula>
    </cfRule>
  </conditionalFormatting>
  <conditionalFormatting sqref="B1:B2 B16:B30">
    <cfRule type="cellIs" dxfId="140" priority="18" operator="equal">
      <formula>#REF!</formula>
    </cfRule>
  </conditionalFormatting>
  <conditionalFormatting sqref="B3">
    <cfRule type="cellIs" dxfId="139" priority="16" operator="equal">
      <formula>#REF!</formula>
    </cfRule>
  </conditionalFormatting>
  <conditionalFormatting sqref="B4:B15">
    <cfRule type="cellIs" dxfId="138" priority="2" operator="equal">
      <formula>#REF!</formula>
    </cfRule>
  </conditionalFormatting>
  <conditionalFormatting sqref="D1:E1">
    <cfRule type="duplicateValues" dxfId="137" priority="17"/>
  </conditionalFormatting>
  <printOptions horizontalCentered="1" verticalCentered="1"/>
  <pageMargins left="0.7" right="0.7" top="0.75" bottom="0.75" header="0.3" footer="0.3"/>
  <pageSetup paperSize="9" scale="10" fitToHeight="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31"/>
  <sheetViews>
    <sheetView rightToLeft="1" view="pageBreakPreview" topLeftCell="B1" zoomScale="25" zoomScaleNormal="25" zoomScaleSheetLayoutView="25" workbookViewId="0">
      <pane ySplit="1" topLeftCell="A8" activePane="bottomLeft" state="frozen"/>
      <selection activeCell="B1" sqref="B1"/>
      <selection pane="bottomLeft" activeCell="D18" sqref="A1:K31"/>
    </sheetView>
  </sheetViews>
  <sheetFormatPr defaultColWidth="9" defaultRowHeight="46.5" x14ac:dyDescent="0.7"/>
  <cols>
    <col min="1" max="1" width="10" style="153" hidden="1" customWidth="1"/>
    <col min="2" max="2" width="47.42578125" style="153" customWidth="1"/>
    <col min="3" max="6" width="62.42578125" style="153" customWidth="1"/>
    <col min="7" max="7" width="63.140625" style="153" customWidth="1"/>
    <col min="8" max="8" width="62.42578125" style="153" customWidth="1"/>
    <col min="9" max="9" width="75.42578125" style="153" customWidth="1"/>
    <col min="10" max="10" width="208.140625" style="153" bestFit="1" customWidth="1"/>
    <col min="11" max="11" width="75.140625" style="153" customWidth="1"/>
    <col min="12" max="16384" width="9" style="153"/>
  </cols>
  <sheetData>
    <row r="1" spans="1:11" s="218" customFormat="1" ht="114" customHeight="1" thickBot="1" x14ac:dyDescent="0.95">
      <c r="A1" s="112"/>
      <c r="B1" s="317" t="s">
        <v>132</v>
      </c>
      <c r="C1" s="318" t="s">
        <v>1</v>
      </c>
      <c r="D1" s="319" t="s">
        <v>86</v>
      </c>
      <c r="E1" s="319" t="s">
        <v>163</v>
      </c>
      <c r="F1" s="320" t="s">
        <v>2</v>
      </c>
      <c r="G1" s="320" t="s">
        <v>3</v>
      </c>
      <c r="H1" s="320" t="s">
        <v>4</v>
      </c>
      <c r="I1" s="319" t="s">
        <v>92</v>
      </c>
      <c r="J1" s="319" t="s">
        <v>6</v>
      </c>
      <c r="K1" s="319" t="s">
        <v>7</v>
      </c>
    </row>
    <row r="2" spans="1:11" s="218" customFormat="1" ht="102.75" customHeight="1" x14ac:dyDescent="0.9">
      <c r="A2" s="256" t="s">
        <v>114</v>
      </c>
      <c r="B2" s="207"/>
      <c r="C2" s="208"/>
      <c r="D2" s="207"/>
      <c r="E2" s="207"/>
      <c r="F2" s="209"/>
      <c r="G2" s="209"/>
      <c r="H2" s="210">
        <v>36594</v>
      </c>
      <c r="I2" s="210" t="s">
        <v>129</v>
      </c>
      <c r="J2" s="207"/>
      <c r="K2" s="207"/>
    </row>
    <row r="3" spans="1:11" s="218" customFormat="1" ht="102.75" customHeight="1" x14ac:dyDescent="0.9">
      <c r="A3" s="214" t="s">
        <v>113</v>
      </c>
      <c r="B3" s="206" t="s">
        <v>113</v>
      </c>
      <c r="C3" s="211">
        <v>45224</v>
      </c>
      <c r="D3" s="206"/>
      <c r="E3" s="206"/>
      <c r="F3" s="212">
        <v>1420</v>
      </c>
      <c r="G3" s="212"/>
      <c r="H3" s="212">
        <f>+H2+F3-G3</f>
        <v>38014</v>
      </c>
      <c r="I3" s="206" t="s">
        <v>353</v>
      </c>
      <c r="J3" s="326"/>
      <c r="K3" s="206"/>
    </row>
    <row r="4" spans="1:11" s="218" customFormat="1" ht="102.75" customHeight="1" x14ac:dyDescent="0.9">
      <c r="A4" s="207"/>
      <c r="B4" s="207" t="s">
        <v>113</v>
      </c>
      <c r="C4" s="208">
        <v>45224</v>
      </c>
      <c r="D4" s="207"/>
      <c r="E4" s="207">
        <v>1195</v>
      </c>
      <c r="F4" s="209">
        <v>50000</v>
      </c>
      <c r="G4" s="209"/>
      <c r="H4" s="212">
        <f t="shared" ref="H4:H15" si="0">+H3+F4-G4</f>
        <v>88014</v>
      </c>
      <c r="I4" s="210" t="s">
        <v>408</v>
      </c>
      <c r="J4" s="327" t="s">
        <v>409</v>
      </c>
      <c r="K4" s="207"/>
    </row>
    <row r="5" spans="1:11" s="218" customFormat="1" ht="102.75" customHeight="1" x14ac:dyDescent="0.9">
      <c r="A5" s="214"/>
      <c r="B5" s="206" t="s">
        <v>113</v>
      </c>
      <c r="C5" s="211">
        <v>45224</v>
      </c>
      <c r="D5" s="206"/>
      <c r="E5" s="206">
        <v>1196</v>
      </c>
      <c r="F5" s="212">
        <v>100000</v>
      </c>
      <c r="G5" s="212"/>
      <c r="H5" s="212">
        <f t="shared" si="0"/>
        <v>188014</v>
      </c>
      <c r="I5" s="206" t="s">
        <v>410</v>
      </c>
      <c r="J5" s="326" t="s">
        <v>411</v>
      </c>
      <c r="K5" s="206"/>
    </row>
    <row r="6" spans="1:11" s="218" customFormat="1" ht="102.75" customHeight="1" x14ac:dyDescent="0.9">
      <c r="A6" s="207"/>
      <c r="B6" s="207" t="s">
        <v>113</v>
      </c>
      <c r="C6" s="208">
        <v>45224</v>
      </c>
      <c r="D6" s="207"/>
      <c r="E6" s="207">
        <v>1197</v>
      </c>
      <c r="F6" s="209">
        <v>200000</v>
      </c>
      <c r="G6" s="209"/>
      <c r="H6" s="212">
        <f t="shared" si="0"/>
        <v>388014</v>
      </c>
      <c r="I6" s="210" t="s">
        <v>412</v>
      </c>
      <c r="J6" s="327" t="s">
        <v>413</v>
      </c>
      <c r="K6" s="207"/>
    </row>
    <row r="7" spans="1:11" s="218" customFormat="1" ht="102.75" customHeight="1" x14ac:dyDescent="0.9">
      <c r="A7" s="214"/>
      <c r="B7" s="206" t="s">
        <v>113</v>
      </c>
      <c r="C7" s="211">
        <v>45224</v>
      </c>
      <c r="D7" s="206">
        <v>1663</v>
      </c>
      <c r="E7" s="206"/>
      <c r="F7" s="212"/>
      <c r="G7" s="212">
        <v>10000</v>
      </c>
      <c r="H7" s="212">
        <f t="shared" si="0"/>
        <v>378014</v>
      </c>
      <c r="I7" s="206" t="s">
        <v>414</v>
      </c>
      <c r="J7" s="326" t="s">
        <v>318</v>
      </c>
      <c r="K7" s="206"/>
    </row>
    <row r="8" spans="1:11" s="218" customFormat="1" ht="102.75" customHeight="1" x14ac:dyDescent="0.9">
      <c r="A8" s="207"/>
      <c r="B8" s="207" t="s">
        <v>113</v>
      </c>
      <c r="C8" s="208">
        <v>45224</v>
      </c>
      <c r="D8" s="207">
        <v>1664</v>
      </c>
      <c r="E8" s="207"/>
      <c r="F8" s="209"/>
      <c r="G8" s="209">
        <v>20000</v>
      </c>
      <c r="H8" s="212">
        <f t="shared" si="0"/>
        <v>358014</v>
      </c>
      <c r="I8" s="210" t="s">
        <v>66</v>
      </c>
      <c r="J8" s="327" t="s">
        <v>293</v>
      </c>
      <c r="K8" s="207"/>
    </row>
    <row r="9" spans="1:11" s="218" customFormat="1" ht="102.75" customHeight="1" x14ac:dyDescent="0.9">
      <c r="A9" s="214"/>
      <c r="B9" s="206" t="s">
        <v>113</v>
      </c>
      <c r="C9" s="211">
        <v>45224</v>
      </c>
      <c r="D9" s="206">
        <v>1665</v>
      </c>
      <c r="E9" s="206"/>
      <c r="F9" s="212"/>
      <c r="G9" s="212">
        <v>15000</v>
      </c>
      <c r="H9" s="212">
        <f t="shared" si="0"/>
        <v>343014</v>
      </c>
      <c r="I9" s="206" t="s">
        <v>160</v>
      </c>
      <c r="J9" s="326" t="s">
        <v>415</v>
      </c>
      <c r="K9" s="206"/>
    </row>
    <row r="10" spans="1:11" s="218" customFormat="1" ht="102.75" customHeight="1" x14ac:dyDescent="0.9">
      <c r="A10" s="207"/>
      <c r="B10" s="207" t="s">
        <v>113</v>
      </c>
      <c r="C10" s="208">
        <v>45224</v>
      </c>
      <c r="D10" s="207">
        <v>1666</v>
      </c>
      <c r="E10" s="207"/>
      <c r="F10" s="209"/>
      <c r="G10" s="209">
        <v>60000</v>
      </c>
      <c r="H10" s="212">
        <f t="shared" si="0"/>
        <v>283014</v>
      </c>
      <c r="I10" s="210" t="s">
        <v>143</v>
      </c>
      <c r="J10" s="327" t="s">
        <v>416</v>
      </c>
      <c r="K10" s="207"/>
    </row>
    <row r="11" spans="1:11" s="218" customFormat="1" ht="102.75" customHeight="1" x14ac:dyDescent="0.9">
      <c r="A11" s="214"/>
      <c r="B11" s="206" t="s">
        <v>113</v>
      </c>
      <c r="C11" s="211">
        <v>45224</v>
      </c>
      <c r="D11" s="206">
        <v>1667</v>
      </c>
      <c r="E11" s="206"/>
      <c r="F11" s="212"/>
      <c r="G11" s="212">
        <v>30000</v>
      </c>
      <c r="H11" s="212">
        <f t="shared" si="0"/>
        <v>253014</v>
      </c>
      <c r="I11" s="206" t="s">
        <v>69</v>
      </c>
      <c r="J11" s="326" t="s">
        <v>316</v>
      </c>
      <c r="K11" s="206"/>
    </row>
    <row r="12" spans="1:11" s="218" customFormat="1" ht="102.75" customHeight="1" x14ac:dyDescent="0.9">
      <c r="A12" s="207"/>
      <c r="B12" s="207" t="s">
        <v>113</v>
      </c>
      <c r="C12" s="208">
        <v>45224</v>
      </c>
      <c r="D12" s="207">
        <v>1668</v>
      </c>
      <c r="E12" s="207"/>
      <c r="F12" s="209"/>
      <c r="G12" s="209">
        <v>150000</v>
      </c>
      <c r="H12" s="212">
        <f t="shared" si="0"/>
        <v>103014</v>
      </c>
      <c r="I12" s="210" t="s">
        <v>201</v>
      </c>
      <c r="J12" s="327" t="s">
        <v>334</v>
      </c>
      <c r="K12" s="207"/>
    </row>
    <row r="13" spans="1:11" s="218" customFormat="1" ht="102.75" customHeight="1" x14ac:dyDescent="0.9">
      <c r="A13" s="214"/>
      <c r="B13" s="206" t="s">
        <v>113</v>
      </c>
      <c r="C13" s="211">
        <v>45224</v>
      </c>
      <c r="D13" s="206"/>
      <c r="E13" s="206"/>
      <c r="F13" s="212"/>
      <c r="G13" s="212"/>
      <c r="H13" s="212">
        <f t="shared" si="0"/>
        <v>103014</v>
      </c>
      <c r="I13" s="206"/>
      <c r="J13" s="326"/>
      <c r="K13" s="206"/>
    </row>
    <row r="14" spans="1:11" s="218" customFormat="1" ht="102.75" customHeight="1" x14ac:dyDescent="0.9">
      <c r="A14" s="214"/>
      <c r="B14" s="206" t="s">
        <v>113</v>
      </c>
      <c r="C14" s="211">
        <v>45224</v>
      </c>
      <c r="D14" s="206">
        <v>1669</v>
      </c>
      <c r="E14" s="206"/>
      <c r="F14" s="212"/>
      <c r="G14" s="212">
        <v>15000</v>
      </c>
      <c r="H14" s="212">
        <f t="shared" si="0"/>
        <v>88014</v>
      </c>
      <c r="I14" s="206" t="s">
        <v>418</v>
      </c>
      <c r="J14" s="326" t="s">
        <v>293</v>
      </c>
      <c r="K14" s="206"/>
    </row>
    <row r="15" spans="1:11" s="331" customFormat="1" ht="168.75" customHeight="1" x14ac:dyDescent="0.9">
      <c r="A15" s="328"/>
      <c r="B15" s="324" t="s">
        <v>114</v>
      </c>
      <c r="C15" s="208">
        <v>45224</v>
      </c>
      <c r="D15" s="324" t="s">
        <v>297</v>
      </c>
      <c r="E15" s="324"/>
      <c r="F15" s="329">
        <v>40000</v>
      </c>
      <c r="G15" s="329"/>
      <c r="H15" s="212">
        <f t="shared" si="0"/>
        <v>128014</v>
      </c>
      <c r="I15" s="210" t="s">
        <v>174</v>
      </c>
      <c r="J15" s="330" t="s">
        <v>417</v>
      </c>
      <c r="K15" s="324"/>
    </row>
    <row r="16" spans="1:11" s="293" customFormat="1" ht="12.75" customHeight="1" thickBot="1" x14ac:dyDescent="0.75">
      <c r="A16" s="296"/>
      <c r="B16" s="296"/>
      <c r="C16" s="297"/>
      <c r="D16" s="296"/>
      <c r="E16" s="296"/>
      <c r="F16" s="298"/>
      <c r="G16" s="298"/>
      <c r="H16" s="298"/>
      <c r="I16" s="296"/>
      <c r="J16" s="314"/>
      <c r="K16" s="288"/>
    </row>
    <row r="17" spans="1:11" ht="102.75" customHeight="1" thickTop="1" x14ac:dyDescent="0.7">
      <c r="B17" s="299"/>
      <c r="C17" s="109" t="s">
        <v>127</v>
      </c>
      <c r="D17" s="110" t="s">
        <v>115</v>
      </c>
      <c r="E17" s="110" t="s">
        <v>179</v>
      </c>
      <c r="F17" s="110" t="s">
        <v>116</v>
      </c>
      <c r="G17" s="100" t="s">
        <v>180</v>
      </c>
      <c r="H17" s="111" t="s">
        <v>211</v>
      </c>
      <c r="I17" s="300"/>
      <c r="J17" s="315"/>
      <c r="K17" s="257"/>
    </row>
    <row r="18" spans="1:11" ht="123.75" customHeight="1" thickBot="1" x14ac:dyDescent="0.75">
      <c r="B18" s="181"/>
      <c r="C18" s="102">
        <f>$H$2</f>
        <v>36594</v>
      </c>
      <c r="D18" s="103">
        <f ca="1">SUMIF(B3:B16,A3,F3:F$15)</f>
        <v>351420</v>
      </c>
      <c r="E18" s="103">
        <f>SUMIF(B2:B16,A3,G2:$G$16)</f>
        <v>300000</v>
      </c>
      <c r="F18" s="103">
        <f>SUMIF(B2:B16,A2,F2:$F$16)</f>
        <v>40000</v>
      </c>
      <c r="G18" s="103">
        <f>SUMIF(B2:B16,A2,G2:$G$16)</f>
        <v>0</v>
      </c>
      <c r="H18" s="104">
        <f ca="1">+C18+D18+F18-E18-G18</f>
        <v>128014</v>
      </c>
      <c r="I18" s="184"/>
      <c r="J18" s="105"/>
      <c r="K18" s="258"/>
    </row>
    <row r="19" spans="1:11" ht="102.75" customHeight="1" thickTop="1" x14ac:dyDescent="0.7">
      <c r="B19" s="181"/>
      <c r="C19" s="181"/>
      <c r="D19" s="301">
        <f ca="1">+C18+D18-E18</f>
        <v>88014</v>
      </c>
      <c r="E19" s="562" t="s">
        <v>181</v>
      </c>
      <c r="F19" s="562"/>
      <c r="G19" s="562"/>
      <c r="H19" s="183"/>
      <c r="I19" s="184"/>
      <c r="J19" s="181"/>
      <c r="K19" s="207"/>
    </row>
    <row r="20" spans="1:11" s="218" customFormat="1" ht="102.75" customHeight="1" x14ac:dyDescent="0.9">
      <c r="A20" s="153"/>
      <c r="B20" s="181"/>
      <c r="C20" s="181"/>
      <c r="D20" s="182"/>
      <c r="E20" s="568" t="s">
        <v>278</v>
      </c>
      <c r="F20" s="568"/>
      <c r="G20" s="568"/>
      <c r="H20" s="183"/>
      <c r="I20" s="184"/>
      <c r="J20" s="181"/>
      <c r="K20" s="207"/>
    </row>
    <row r="21" spans="1:11" s="218" customFormat="1" ht="102.75" customHeight="1" x14ac:dyDescent="0.9">
      <c r="A21" s="153"/>
      <c r="B21" s="181"/>
      <c r="C21" s="181"/>
      <c r="D21" s="182"/>
      <c r="E21" s="302" t="s">
        <v>279</v>
      </c>
      <c r="F21" s="302" t="s">
        <v>280</v>
      </c>
      <c r="G21" s="302" t="s">
        <v>281</v>
      </c>
      <c r="H21" s="183"/>
      <c r="I21" s="184"/>
      <c r="J21" s="181"/>
      <c r="K21" s="207"/>
    </row>
    <row r="22" spans="1:11" s="218" customFormat="1" ht="102.75" customHeight="1" x14ac:dyDescent="0.9">
      <c r="A22" s="153"/>
      <c r="B22" s="181"/>
      <c r="C22" s="181"/>
      <c r="D22" s="181"/>
      <c r="E22" s="185">
        <v>238</v>
      </c>
      <c r="F22" s="186">
        <v>200</v>
      </c>
      <c r="G22" s="186">
        <f>+F22*E22</f>
        <v>47600</v>
      </c>
      <c r="H22" s="183"/>
      <c r="I22" s="184"/>
      <c r="J22" s="181"/>
      <c r="K22" s="207"/>
    </row>
    <row r="23" spans="1:11" s="218" customFormat="1" ht="102.75" customHeight="1" x14ac:dyDescent="0.9">
      <c r="A23" s="153"/>
      <c r="B23" s="181"/>
      <c r="C23" s="181"/>
      <c r="D23" s="181"/>
      <c r="E23" s="185">
        <v>239</v>
      </c>
      <c r="F23" s="186">
        <v>100</v>
      </c>
      <c r="G23" s="186">
        <f t="shared" ref="G23:G28" si="1">+F23*E23</f>
        <v>23900</v>
      </c>
      <c r="H23" s="183"/>
      <c r="I23" s="184"/>
      <c r="J23" s="183"/>
      <c r="K23" s="207"/>
    </row>
    <row r="24" spans="1:11" s="218" customFormat="1" ht="102.75" customHeight="1" x14ac:dyDescent="0.9">
      <c r="A24" s="153"/>
      <c r="B24" s="181"/>
      <c r="C24" s="181"/>
      <c r="D24" s="181"/>
      <c r="E24" s="185">
        <v>306</v>
      </c>
      <c r="F24" s="186">
        <v>50</v>
      </c>
      <c r="G24" s="186">
        <f t="shared" si="1"/>
        <v>15300</v>
      </c>
      <c r="H24" s="183"/>
      <c r="I24" s="184"/>
      <c r="J24" s="181"/>
      <c r="K24" s="207"/>
    </row>
    <row r="25" spans="1:11" s="218" customFormat="1" ht="102.75" customHeight="1" x14ac:dyDescent="0.9">
      <c r="A25" s="153"/>
      <c r="B25" s="181"/>
      <c r="C25" s="181"/>
      <c r="D25" s="181"/>
      <c r="E25" s="185">
        <v>9</v>
      </c>
      <c r="F25" s="186">
        <v>20</v>
      </c>
      <c r="G25" s="186">
        <f t="shared" si="1"/>
        <v>180</v>
      </c>
      <c r="H25" s="183"/>
      <c r="I25" s="184"/>
      <c r="J25" s="181"/>
      <c r="K25" s="207"/>
    </row>
    <row r="26" spans="1:11" s="218" customFormat="1" ht="102.75" customHeight="1" x14ac:dyDescent="0.9">
      <c r="A26" s="153"/>
      <c r="B26" s="181"/>
      <c r="C26" s="181"/>
      <c r="D26" s="181"/>
      <c r="E26" s="185">
        <v>4</v>
      </c>
      <c r="F26" s="186">
        <v>10</v>
      </c>
      <c r="G26" s="186">
        <f t="shared" si="1"/>
        <v>40</v>
      </c>
      <c r="H26" s="183"/>
      <c r="I26" s="184"/>
      <c r="J26" s="181"/>
      <c r="K26" s="207"/>
    </row>
    <row r="27" spans="1:11" s="218" customFormat="1" ht="102.75" customHeight="1" x14ac:dyDescent="0.9">
      <c r="A27" s="153"/>
      <c r="B27" s="181"/>
      <c r="C27" s="181"/>
      <c r="D27" s="181"/>
      <c r="E27" s="185">
        <v>1</v>
      </c>
      <c r="F27" s="186">
        <v>5</v>
      </c>
      <c r="G27" s="186">
        <f t="shared" si="1"/>
        <v>5</v>
      </c>
      <c r="H27" s="183"/>
      <c r="I27" s="184"/>
      <c r="J27" s="181"/>
      <c r="K27" s="207"/>
    </row>
    <row r="28" spans="1:11" s="218" customFormat="1" ht="102.75" customHeight="1" thickBot="1" x14ac:dyDescent="0.95">
      <c r="A28" s="153"/>
      <c r="B28" s="181"/>
      <c r="C28" s="181"/>
      <c r="D28" s="181"/>
      <c r="E28" s="303">
        <v>4</v>
      </c>
      <c r="F28" s="304">
        <v>1</v>
      </c>
      <c r="G28" s="304">
        <f t="shared" si="1"/>
        <v>4</v>
      </c>
      <c r="H28" s="183"/>
      <c r="I28" s="184"/>
      <c r="J28" s="181"/>
      <c r="K28" s="207"/>
    </row>
    <row r="29" spans="1:11" s="218" customFormat="1" ht="102.75" customHeight="1" x14ac:dyDescent="0.9">
      <c r="A29" s="153"/>
      <c r="B29" s="181"/>
      <c r="C29" s="181"/>
      <c r="D29" s="181"/>
      <c r="E29" s="305"/>
      <c r="F29" s="306" t="s">
        <v>283</v>
      </c>
      <c r="G29" s="307">
        <f>SUM(G22:G28)</f>
        <v>87029</v>
      </c>
      <c r="H29" s="183"/>
      <c r="I29" s="184"/>
      <c r="J29" s="181"/>
      <c r="K29" s="207"/>
    </row>
    <row r="30" spans="1:11" s="218" customFormat="1" ht="102.75" customHeight="1" x14ac:dyDescent="0.9">
      <c r="A30" s="153"/>
      <c r="B30" s="181"/>
      <c r="C30" s="181"/>
      <c r="D30" s="181"/>
      <c r="E30" s="308"/>
      <c r="F30" s="309" t="s">
        <v>282</v>
      </c>
      <c r="G30" s="310">
        <f ca="1">D19</f>
        <v>88014</v>
      </c>
      <c r="H30" s="183"/>
      <c r="I30" s="184"/>
      <c r="J30" s="181"/>
      <c r="K30" s="207"/>
    </row>
    <row r="31" spans="1:11" s="218" customFormat="1" ht="102.75" customHeight="1" thickBot="1" x14ac:dyDescent="0.95">
      <c r="A31" s="153"/>
      <c r="B31" s="181"/>
      <c r="C31" s="181"/>
      <c r="D31" s="181"/>
      <c r="E31" s="311"/>
      <c r="F31" s="312" t="s">
        <v>284</v>
      </c>
      <c r="G31" s="313">
        <f ca="1">+G29-G30</f>
        <v>-985</v>
      </c>
      <c r="H31" s="183"/>
      <c r="I31" s="184"/>
      <c r="J31" s="181"/>
      <c r="K31" s="207"/>
    </row>
  </sheetData>
  <mergeCells count="2">
    <mergeCell ref="E19:G19"/>
    <mergeCell ref="E20:G20"/>
  </mergeCells>
  <conditionalFormatting sqref="A2:A16">
    <cfRule type="cellIs" dxfId="136" priority="1" operator="equal">
      <formula>#REF!</formula>
    </cfRule>
  </conditionalFormatting>
  <conditionalFormatting sqref="B1:B2 B17:B31">
    <cfRule type="cellIs" dxfId="135" priority="13" operator="equal">
      <formula>#REF!</formula>
    </cfRule>
  </conditionalFormatting>
  <conditionalFormatting sqref="B3">
    <cfRule type="cellIs" dxfId="134" priority="11" operator="equal">
      <formula>#REF!</formula>
    </cfRule>
  </conditionalFormatting>
  <conditionalFormatting sqref="B4:B16">
    <cfRule type="cellIs" dxfId="133" priority="2" operator="equal">
      <formula>#REF!</formula>
    </cfRule>
  </conditionalFormatting>
  <conditionalFormatting sqref="D1:E1">
    <cfRule type="duplicateValues" dxfId="132" priority="12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1"/>
  <sheetViews>
    <sheetView showGridLines="0" rightToLeft="1" zoomScale="40" zoomScaleNormal="40" workbookViewId="0">
      <pane ySplit="1" topLeftCell="A23" activePane="bottomLeft" state="frozen"/>
      <selection pane="bottomLeft" activeCell="G2" sqref="G2"/>
    </sheetView>
  </sheetViews>
  <sheetFormatPr defaultColWidth="17.140625" defaultRowHeight="15" x14ac:dyDescent="0.25"/>
  <cols>
    <col min="1" max="1" width="23.28515625" style="30" customWidth="1"/>
    <col min="2" max="2" width="27.5703125" style="30" bestFit="1" customWidth="1"/>
    <col min="3" max="3" width="30.42578125" style="30" bestFit="1" customWidth="1"/>
    <col min="4" max="4" width="33.85546875" style="30" bestFit="1" customWidth="1"/>
    <col min="5" max="5" width="33.28515625" style="30" bestFit="1" customWidth="1"/>
    <col min="6" max="6" width="33.85546875" style="30" bestFit="1" customWidth="1"/>
    <col min="7" max="7" width="37.5703125" style="30" customWidth="1"/>
    <col min="8" max="8" width="70.140625" style="30" customWidth="1"/>
    <col min="9" max="9" width="56.140625" style="30" customWidth="1"/>
    <col min="10" max="10" width="31.5703125" style="30" customWidth="1"/>
    <col min="11" max="11" width="27.5703125" style="30" bestFit="1" customWidth="1"/>
    <col min="12" max="16384" width="17.140625" style="30"/>
  </cols>
  <sheetData>
    <row r="1" spans="1:10" s="85" customFormat="1" ht="75.75" customHeight="1" thickBot="1" x14ac:dyDescent="0.3">
      <c r="A1" s="81" t="s">
        <v>132</v>
      </c>
      <c r="B1" s="82" t="s">
        <v>1</v>
      </c>
      <c r="C1" s="83" t="s">
        <v>86</v>
      </c>
      <c r="D1" s="83" t="s">
        <v>163</v>
      </c>
      <c r="E1" s="84" t="s">
        <v>2</v>
      </c>
      <c r="F1" s="84" t="s">
        <v>3</v>
      </c>
      <c r="G1" s="84" t="s">
        <v>4</v>
      </c>
      <c r="H1" s="83" t="s">
        <v>92</v>
      </c>
      <c r="I1" s="83" t="s">
        <v>6</v>
      </c>
      <c r="J1" s="83" t="s">
        <v>7</v>
      </c>
    </row>
    <row r="2" spans="1:10" s="55" customFormat="1" ht="54.75" customHeight="1" x14ac:dyDescent="0.25">
      <c r="B2" s="56"/>
      <c r="E2" s="57"/>
      <c r="F2" s="57"/>
      <c r="G2" s="57">
        <v>74974</v>
      </c>
      <c r="H2" s="55" t="s">
        <v>129</v>
      </c>
      <c r="I2" s="58"/>
    </row>
    <row r="3" spans="1:10" s="55" customFormat="1" ht="54.75" customHeight="1" x14ac:dyDescent="0.25">
      <c r="A3" s="55" t="s">
        <v>114</v>
      </c>
      <c r="B3" s="56"/>
      <c r="D3" s="55">
        <v>1113</v>
      </c>
      <c r="E3" s="64">
        <v>21416</v>
      </c>
      <c r="F3" s="64"/>
      <c r="G3" s="64">
        <f t="shared" ref="G3:G32" si="0">+G2+E3-F3</f>
        <v>96390</v>
      </c>
      <c r="H3" s="55" t="s">
        <v>9</v>
      </c>
      <c r="I3" s="58" t="s">
        <v>10</v>
      </c>
    </row>
    <row r="4" spans="1:10" s="55" customFormat="1" ht="54.75" customHeight="1" x14ac:dyDescent="0.25">
      <c r="A4" s="55" t="s">
        <v>114</v>
      </c>
      <c r="B4" s="60"/>
      <c r="C4" s="59"/>
      <c r="D4" s="59">
        <v>1114</v>
      </c>
      <c r="E4" s="61">
        <v>105000</v>
      </c>
      <c r="F4" s="61"/>
      <c r="G4" s="61">
        <f>+G3+E4-F4</f>
        <v>201390</v>
      </c>
      <c r="H4" s="62" t="s">
        <v>12</v>
      </c>
      <c r="I4" s="62" t="s">
        <v>13</v>
      </c>
      <c r="J4" s="59"/>
    </row>
    <row r="5" spans="1:10" s="55" customFormat="1" ht="54.75" customHeight="1" x14ac:dyDescent="0.25">
      <c r="A5" s="55" t="s">
        <v>114</v>
      </c>
      <c r="B5" s="56"/>
      <c r="D5" s="55">
        <v>1115</v>
      </c>
      <c r="E5" s="64">
        <v>60000</v>
      </c>
      <c r="F5" s="64"/>
      <c r="G5" s="64">
        <f t="shared" si="0"/>
        <v>261390</v>
      </c>
      <c r="H5" s="58" t="s">
        <v>14</v>
      </c>
      <c r="I5" s="58" t="s">
        <v>15</v>
      </c>
    </row>
    <row r="6" spans="1:10" s="55" customFormat="1" ht="54.75" customHeight="1" x14ac:dyDescent="0.25">
      <c r="A6" s="55" t="s">
        <v>114</v>
      </c>
      <c r="B6" s="60"/>
      <c r="C6" s="59"/>
      <c r="D6" s="59">
        <v>1116</v>
      </c>
      <c r="E6" s="61">
        <v>40000</v>
      </c>
      <c r="F6" s="61"/>
      <c r="G6" s="61">
        <f t="shared" si="0"/>
        <v>301390</v>
      </c>
      <c r="H6" s="62" t="s">
        <v>17</v>
      </c>
      <c r="I6" s="62" t="s">
        <v>18</v>
      </c>
      <c r="J6" s="59"/>
    </row>
    <row r="7" spans="1:10" s="55" customFormat="1" ht="54.75" customHeight="1" x14ac:dyDescent="0.25">
      <c r="A7" s="55" t="s">
        <v>114</v>
      </c>
      <c r="B7" s="56"/>
      <c r="D7" s="55">
        <v>1117</v>
      </c>
      <c r="E7" s="64">
        <v>100000</v>
      </c>
      <c r="F7" s="64"/>
      <c r="G7" s="64">
        <f t="shared" si="0"/>
        <v>401390</v>
      </c>
      <c r="H7" s="58" t="s">
        <v>20</v>
      </c>
      <c r="I7" s="58" t="s">
        <v>21</v>
      </c>
    </row>
    <row r="8" spans="1:10" s="55" customFormat="1" ht="54.75" customHeight="1" x14ac:dyDescent="0.25">
      <c r="A8" s="55" t="s">
        <v>114</v>
      </c>
      <c r="B8" s="60"/>
      <c r="C8" s="59"/>
      <c r="D8" s="59">
        <v>1118</v>
      </c>
      <c r="E8" s="61">
        <v>8000</v>
      </c>
      <c r="F8" s="61"/>
      <c r="G8" s="61">
        <f t="shared" si="0"/>
        <v>409390</v>
      </c>
      <c r="H8" s="62" t="s">
        <v>23</v>
      </c>
      <c r="I8" s="62" t="s">
        <v>24</v>
      </c>
      <c r="J8" s="59"/>
    </row>
    <row r="9" spans="1:10" s="55" customFormat="1" ht="54.75" customHeight="1" x14ac:dyDescent="0.25">
      <c r="A9" s="55" t="s">
        <v>114</v>
      </c>
      <c r="B9" s="56"/>
      <c r="D9" s="55">
        <v>1119</v>
      </c>
      <c r="E9" s="64">
        <v>60000</v>
      </c>
      <c r="F9" s="64"/>
      <c r="G9" s="64">
        <f t="shared" si="0"/>
        <v>469390</v>
      </c>
      <c r="H9" s="58" t="s">
        <v>26</v>
      </c>
      <c r="I9" s="58" t="s">
        <v>27</v>
      </c>
    </row>
    <row r="10" spans="1:10" s="55" customFormat="1" ht="54.75" customHeight="1" x14ac:dyDescent="0.25">
      <c r="A10" s="55" t="s">
        <v>114</v>
      </c>
      <c r="B10" s="60"/>
      <c r="C10" s="59"/>
      <c r="D10" s="59">
        <v>1120</v>
      </c>
      <c r="E10" s="61">
        <v>70000</v>
      </c>
      <c r="F10" s="61"/>
      <c r="G10" s="61">
        <f t="shared" si="0"/>
        <v>539390</v>
      </c>
      <c r="H10" s="91" t="s">
        <v>29</v>
      </c>
      <c r="I10" s="62" t="s">
        <v>30</v>
      </c>
      <c r="J10" s="59"/>
    </row>
    <row r="11" spans="1:10" s="55" customFormat="1" ht="54.75" customHeight="1" x14ac:dyDescent="0.25">
      <c r="A11" s="55" t="s">
        <v>114</v>
      </c>
      <c r="B11" s="56"/>
      <c r="D11" s="55">
        <v>1121</v>
      </c>
      <c r="E11" s="64">
        <v>125000</v>
      </c>
      <c r="F11" s="64"/>
      <c r="G11" s="64">
        <f t="shared" si="0"/>
        <v>664390</v>
      </c>
      <c r="H11" s="58" t="s">
        <v>32</v>
      </c>
      <c r="I11" s="58" t="s">
        <v>33</v>
      </c>
    </row>
    <row r="12" spans="1:10" s="55" customFormat="1" ht="54.75" customHeight="1" x14ac:dyDescent="0.25">
      <c r="A12" s="55" t="s">
        <v>114</v>
      </c>
      <c r="B12" s="60"/>
      <c r="C12" s="59"/>
      <c r="D12" s="59">
        <v>1122</v>
      </c>
      <c r="E12" s="61">
        <v>200000</v>
      </c>
      <c r="F12" s="61"/>
      <c r="G12" s="61">
        <f t="shared" si="0"/>
        <v>864390</v>
      </c>
      <c r="H12" s="62" t="s">
        <v>34</v>
      </c>
      <c r="I12" s="62" t="s">
        <v>35</v>
      </c>
      <c r="J12" s="59"/>
    </row>
    <row r="13" spans="1:10" s="55" customFormat="1" ht="54.75" customHeight="1" x14ac:dyDescent="0.25">
      <c r="A13" s="55" t="s">
        <v>114</v>
      </c>
      <c r="B13" s="56"/>
      <c r="D13" s="55">
        <v>1123</v>
      </c>
      <c r="E13" s="64">
        <v>100000</v>
      </c>
      <c r="F13" s="64"/>
      <c r="G13" s="64">
        <f t="shared" si="0"/>
        <v>964390</v>
      </c>
      <c r="H13" s="58" t="s">
        <v>36</v>
      </c>
      <c r="I13" s="58" t="s">
        <v>37</v>
      </c>
    </row>
    <row r="14" spans="1:10" s="55" customFormat="1" ht="54.75" customHeight="1" x14ac:dyDescent="0.25">
      <c r="B14" s="56"/>
      <c r="D14" s="55">
        <v>1124</v>
      </c>
      <c r="E14" s="64">
        <v>85000</v>
      </c>
      <c r="F14" s="64"/>
      <c r="G14" s="64">
        <f t="shared" si="0"/>
        <v>1049390</v>
      </c>
      <c r="H14" s="58" t="s">
        <v>38</v>
      </c>
      <c r="I14" s="58" t="s">
        <v>39</v>
      </c>
    </row>
    <row r="15" spans="1:10" s="55" customFormat="1" ht="54.75" customHeight="1" x14ac:dyDescent="0.25">
      <c r="A15" s="55" t="s">
        <v>114</v>
      </c>
      <c r="B15" s="56"/>
      <c r="D15" s="55">
        <v>1125</v>
      </c>
      <c r="E15" s="64">
        <v>100000</v>
      </c>
      <c r="F15" s="64"/>
      <c r="G15" s="64">
        <f t="shared" si="0"/>
        <v>1149390</v>
      </c>
      <c r="H15" s="58" t="s">
        <v>40</v>
      </c>
      <c r="I15" s="58" t="s">
        <v>41</v>
      </c>
    </row>
    <row r="16" spans="1:10" s="55" customFormat="1" ht="54.75" customHeight="1" x14ac:dyDescent="0.25">
      <c r="A16" s="55" t="s">
        <v>114</v>
      </c>
      <c r="B16" s="56"/>
      <c r="D16" s="55">
        <v>1126</v>
      </c>
      <c r="E16" s="64">
        <v>76750</v>
      </c>
      <c r="F16" s="64"/>
      <c r="G16" s="64">
        <f t="shared" si="0"/>
        <v>1226140</v>
      </c>
      <c r="H16" s="58" t="s">
        <v>42</v>
      </c>
      <c r="I16" s="58" t="s">
        <v>43</v>
      </c>
    </row>
    <row r="17" spans="1:9" s="55" customFormat="1" ht="54.75" customHeight="1" x14ac:dyDescent="0.25">
      <c r="A17" s="55" t="s">
        <v>114</v>
      </c>
      <c r="B17" s="56"/>
      <c r="D17" s="55">
        <v>1127</v>
      </c>
      <c r="E17" s="64">
        <v>6250</v>
      </c>
      <c r="F17" s="64"/>
      <c r="G17" s="64">
        <f t="shared" si="0"/>
        <v>1232390</v>
      </c>
      <c r="H17" s="58" t="s">
        <v>42</v>
      </c>
      <c r="I17" s="58" t="s">
        <v>45</v>
      </c>
    </row>
    <row r="18" spans="1:9" s="55" customFormat="1" ht="54.75" customHeight="1" x14ac:dyDescent="0.25">
      <c r="A18" s="55" t="s">
        <v>114</v>
      </c>
      <c r="B18" s="56"/>
      <c r="D18" s="55">
        <v>1128</v>
      </c>
      <c r="E18" s="64">
        <v>74000</v>
      </c>
      <c r="F18" s="64"/>
      <c r="G18" s="64">
        <f t="shared" si="0"/>
        <v>1306390</v>
      </c>
      <c r="H18" s="58" t="s">
        <v>42</v>
      </c>
      <c r="I18" s="58" t="s">
        <v>43</v>
      </c>
    </row>
    <row r="19" spans="1:9" s="55" customFormat="1" ht="54.75" customHeight="1" x14ac:dyDescent="0.25">
      <c r="A19" s="55" t="s">
        <v>114</v>
      </c>
      <c r="B19" s="56"/>
      <c r="D19" s="55">
        <v>1129</v>
      </c>
      <c r="E19" s="64">
        <v>180000</v>
      </c>
      <c r="F19" s="64"/>
      <c r="G19" s="64">
        <f t="shared" si="0"/>
        <v>1486390</v>
      </c>
      <c r="H19" s="58" t="s">
        <v>46</v>
      </c>
      <c r="I19" s="58" t="s">
        <v>47</v>
      </c>
    </row>
    <row r="20" spans="1:9" s="55" customFormat="1" ht="54.75" customHeight="1" x14ac:dyDescent="0.25">
      <c r="A20" s="55" t="s">
        <v>114</v>
      </c>
      <c r="B20" s="56"/>
      <c r="D20" s="55">
        <v>1130</v>
      </c>
      <c r="E20" s="64">
        <v>6000</v>
      </c>
      <c r="F20" s="64"/>
      <c r="G20" s="64">
        <f t="shared" si="0"/>
        <v>1492390</v>
      </c>
      <c r="H20" s="58" t="s">
        <v>48</v>
      </c>
      <c r="I20" s="58" t="s">
        <v>49</v>
      </c>
    </row>
    <row r="21" spans="1:9" s="55" customFormat="1" ht="54.75" customHeight="1" x14ac:dyDescent="0.25">
      <c r="A21" s="55" t="s">
        <v>114</v>
      </c>
      <c r="B21" s="56"/>
      <c r="D21" s="55">
        <v>1131</v>
      </c>
      <c r="E21" s="64">
        <v>25000</v>
      </c>
      <c r="F21" s="64"/>
      <c r="G21" s="64">
        <f t="shared" si="0"/>
        <v>1517390</v>
      </c>
      <c r="H21" s="58" t="s">
        <v>51</v>
      </c>
      <c r="I21" s="58" t="s">
        <v>52</v>
      </c>
    </row>
    <row r="22" spans="1:9" s="55" customFormat="1" ht="54.75" customHeight="1" x14ac:dyDescent="0.25">
      <c r="A22" s="55" t="s">
        <v>114</v>
      </c>
      <c r="B22" s="56"/>
      <c r="D22" s="55">
        <v>1132</v>
      </c>
      <c r="E22" s="64">
        <v>13000</v>
      </c>
      <c r="F22" s="64"/>
      <c r="G22" s="64">
        <f t="shared" si="0"/>
        <v>1530390</v>
      </c>
      <c r="H22" s="58" t="s">
        <v>54</v>
      </c>
      <c r="I22" s="58" t="s">
        <v>55</v>
      </c>
    </row>
    <row r="23" spans="1:9" s="55" customFormat="1" ht="54.75" customHeight="1" x14ac:dyDescent="0.25">
      <c r="A23" s="55" t="s">
        <v>114</v>
      </c>
      <c r="B23" s="56"/>
      <c r="D23" s="55">
        <v>1133</v>
      </c>
      <c r="E23" s="64">
        <v>68000</v>
      </c>
      <c r="F23" s="64"/>
      <c r="G23" s="64">
        <f t="shared" si="0"/>
        <v>1598390</v>
      </c>
      <c r="H23" s="58" t="s">
        <v>56</v>
      </c>
      <c r="I23" s="58" t="s">
        <v>57</v>
      </c>
    </row>
    <row r="24" spans="1:9" s="55" customFormat="1" ht="54.75" customHeight="1" x14ac:dyDescent="0.25">
      <c r="A24" s="55" t="s">
        <v>114</v>
      </c>
      <c r="B24" s="56"/>
      <c r="D24" s="55">
        <v>1134</v>
      </c>
      <c r="E24" s="64">
        <v>71000</v>
      </c>
      <c r="F24" s="64"/>
      <c r="G24" s="64">
        <f t="shared" si="0"/>
        <v>1669390</v>
      </c>
      <c r="H24" s="58" t="s">
        <v>56</v>
      </c>
      <c r="I24" s="58" t="s">
        <v>58</v>
      </c>
    </row>
    <row r="25" spans="1:9" s="55" customFormat="1" ht="54.75" customHeight="1" x14ac:dyDescent="0.25">
      <c r="B25" s="56"/>
      <c r="D25" s="55">
        <v>1135</v>
      </c>
      <c r="E25" s="64"/>
      <c r="F25" s="64"/>
      <c r="G25" s="64">
        <f t="shared" si="0"/>
        <v>1669390</v>
      </c>
      <c r="H25" s="58" t="s">
        <v>182</v>
      </c>
      <c r="I25" s="58"/>
    </row>
    <row r="26" spans="1:9" s="55" customFormat="1" ht="54.75" customHeight="1" x14ac:dyDescent="0.25">
      <c r="A26" s="55" t="s">
        <v>114</v>
      </c>
      <c r="B26" s="56"/>
      <c r="D26" s="55">
        <v>1136</v>
      </c>
      <c r="E26" s="64">
        <v>66000</v>
      </c>
      <c r="F26" s="64"/>
      <c r="G26" s="64">
        <f t="shared" si="0"/>
        <v>1735390</v>
      </c>
      <c r="H26" s="58" t="s">
        <v>60</v>
      </c>
      <c r="I26" s="58" t="s">
        <v>63</v>
      </c>
    </row>
    <row r="27" spans="1:9" s="55" customFormat="1" ht="54.75" customHeight="1" x14ac:dyDescent="0.25">
      <c r="A27" s="55" t="s">
        <v>114</v>
      </c>
      <c r="B27" s="56"/>
      <c r="D27" s="55">
        <v>1137</v>
      </c>
      <c r="E27" s="64">
        <v>65000</v>
      </c>
      <c r="F27" s="64"/>
      <c r="G27" s="64">
        <f t="shared" si="0"/>
        <v>1800390</v>
      </c>
      <c r="H27" s="58" t="s">
        <v>64</v>
      </c>
      <c r="I27" s="58" t="s">
        <v>65</v>
      </c>
    </row>
    <row r="28" spans="1:9" s="55" customFormat="1" ht="54.75" customHeight="1" x14ac:dyDescent="0.25">
      <c r="A28" s="55" t="s">
        <v>114</v>
      </c>
      <c r="B28" s="56"/>
      <c r="D28" s="55">
        <v>1138</v>
      </c>
      <c r="E28" s="64">
        <v>67500</v>
      </c>
      <c r="F28" s="64"/>
      <c r="G28" s="64">
        <f t="shared" si="0"/>
        <v>1867890</v>
      </c>
      <c r="H28" s="58" t="s">
        <v>90</v>
      </c>
      <c r="I28" s="58" t="s">
        <v>91</v>
      </c>
    </row>
    <row r="29" spans="1:9" s="55" customFormat="1" ht="54.75" customHeight="1" x14ac:dyDescent="0.25">
      <c r="A29" s="55" t="s">
        <v>114</v>
      </c>
      <c r="B29" s="56"/>
      <c r="E29" s="193">
        <v>750000</v>
      </c>
      <c r="F29" s="64"/>
      <c r="G29" s="64">
        <f t="shared" si="0"/>
        <v>2617890</v>
      </c>
      <c r="H29" s="58" t="s">
        <v>183</v>
      </c>
      <c r="I29" s="58" t="s">
        <v>184</v>
      </c>
    </row>
    <row r="30" spans="1:9" s="55" customFormat="1" ht="54.75" customHeight="1" x14ac:dyDescent="0.25">
      <c r="A30" s="55" t="s">
        <v>114</v>
      </c>
      <c r="B30" s="56"/>
      <c r="E30" s="193">
        <v>550000</v>
      </c>
      <c r="F30" s="64"/>
      <c r="G30" s="64">
        <f t="shared" si="0"/>
        <v>3167890</v>
      </c>
      <c r="H30" s="58" t="s">
        <v>185</v>
      </c>
      <c r="I30" s="58" t="s">
        <v>186</v>
      </c>
    </row>
    <row r="31" spans="1:9" s="55" customFormat="1" ht="54.75" customHeight="1" x14ac:dyDescent="0.25">
      <c r="A31" s="55" t="s">
        <v>114</v>
      </c>
      <c r="B31" s="56"/>
      <c r="E31" s="193">
        <v>1500000</v>
      </c>
      <c r="F31" s="64"/>
      <c r="G31" s="64">
        <f t="shared" si="0"/>
        <v>4667890</v>
      </c>
      <c r="H31" s="58" t="s">
        <v>187</v>
      </c>
      <c r="I31" s="58" t="s">
        <v>298</v>
      </c>
    </row>
    <row r="32" spans="1:9" ht="32.25" customHeight="1" x14ac:dyDescent="0.25">
      <c r="A32" s="55" t="s">
        <v>114</v>
      </c>
      <c r="B32" s="29"/>
      <c r="E32" s="194">
        <v>780000</v>
      </c>
      <c r="F32" s="31"/>
      <c r="G32" s="64">
        <f t="shared" si="0"/>
        <v>5447890</v>
      </c>
      <c r="H32" s="58" t="s">
        <v>188</v>
      </c>
      <c r="I32" s="58" t="s">
        <v>189</v>
      </c>
    </row>
    <row r="33" spans="2:9" ht="32.25" customHeight="1" x14ac:dyDescent="0.25">
      <c r="B33" s="29"/>
      <c r="E33" s="31"/>
      <c r="F33" s="31"/>
      <c r="G33" s="64"/>
      <c r="I33" s="32"/>
    </row>
    <row r="34" spans="2:9" ht="32.25" customHeight="1" x14ac:dyDescent="0.25">
      <c r="B34" s="29"/>
      <c r="E34" s="31"/>
      <c r="F34" s="31"/>
      <c r="G34" s="64"/>
      <c r="I34" s="32"/>
    </row>
    <row r="35" spans="2:9" ht="32.25" customHeight="1" x14ac:dyDescent="0.25">
      <c r="B35" s="29"/>
      <c r="E35" s="31"/>
      <c r="F35" s="31"/>
      <c r="G35" s="64"/>
      <c r="I35" s="32"/>
    </row>
    <row r="36" spans="2:9" ht="32.25" customHeight="1" x14ac:dyDescent="0.25">
      <c r="B36" s="29"/>
      <c r="E36" s="31"/>
      <c r="F36" s="31"/>
      <c r="G36" s="64"/>
      <c r="I36" s="32"/>
    </row>
    <row r="37" spans="2:9" ht="32.25" customHeight="1" x14ac:dyDescent="0.25">
      <c r="E37" s="31"/>
      <c r="F37" s="31"/>
      <c r="G37" s="31"/>
    </row>
    <row r="38" spans="2:9" ht="32.25" customHeight="1" x14ac:dyDescent="0.25">
      <c r="E38" s="31"/>
      <c r="F38" s="31"/>
      <c r="G38" s="31"/>
    </row>
    <row r="39" spans="2:9" ht="32.25" customHeight="1" x14ac:dyDescent="0.25">
      <c r="E39" s="31"/>
      <c r="F39" s="31"/>
      <c r="G39" s="31"/>
    </row>
    <row r="40" spans="2:9" ht="32.25" customHeight="1" x14ac:dyDescent="0.25">
      <c r="E40" s="31"/>
      <c r="F40" s="31"/>
      <c r="G40" s="31"/>
    </row>
    <row r="41" spans="2:9" ht="32.25" customHeight="1" x14ac:dyDescent="0.25">
      <c r="E41" s="31"/>
      <c r="F41" s="31"/>
      <c r="G41" s="31"/>
    </row>
    <row r="42" spans="2:9" ht="32.25" customHeight="1" x14ac:dyDescent="0.25">
      <c r="E42" s="31"/>
      <c r="F42" s="31"/>
      <c r="G42" s="31"/>
    </row>
    <row r="43" spans="2:9" ht="32.25" customHeight="1" x14ac:dyDescent="0.25">
      <c r="E43" s="31"/>
      <c r="F43" s="31"/>
      <c r="G43" s="31"/>
    </row>
    <row r="44" spans="2:9" ht="32.25" customHeight="1" x14ac:dyDescent="0.25">
      <c r="E44" s="31"/>
      <c r="F44" s="31"/>
      <c r="G44" s="31"/>
    </row>
    <row r="45" spans="2:9" ht="32.25" customHeight="1" x14ac:dyDescent="0.25">
      <c r="E45" s="31"/>
      <c r="F45" s="31"/>
      <c r="G45" s="31"/>
    </row>
    <row r="46" spans="2:9" ht="32.25" customHeight="1" x14ac:dyDescent="0.25">
      <c r="E46" s="31"/>
      <c r="F46" s="31"/>
      <c r="G46" s="31"/>
    </row>
    <row r="47" spans="2:9" ht="32.25" customHeight="1" x14ac:dyDescent="0.25">
      <c r="E47" s="31"/>
      <c r="F47" s="31"/>
      <c r="G47" s="31"/>
    </row>
    <row r="48" spans="2:9" ht="32.25" customHeight="1" x14ac:dyDescent="0.25">
      <c r="E48" s="31"/>
      <c r="F48" s="31"/>
      <c r="G48" s="31"/>
    </row>
    <row r="49" spans="5:7" ht="32.25" customHeight="1" x14ac:dyDescent="0.25">
      <c r="E49" s="31"/>
      <c r="F49" s="31"/>
      <c r="G49" s="31"/>
    </row>
    <row r="50" spans="5:7" ht="32.25" customHeight="1" x14ac:dyDescent="0.25">
      <c r="E50" s="31"/>
      <c r="F50" s="31"/>
      <c r="G50" s="31"/>
    </row>
    <row r="51" spans="5:7" ht="32.25" customHeight="1" x14ac:dyDescent="0.25">
      <c r="E51" s="31"/>
      <c r="F51" s="31"/>
      <c r="G51" s="31"/>
    </row>
    <row r="52" spans="5:7" ht="32.25" customHeight="1" x14ac:dyDescent="0.25">
      <c r="E52" s="31"/>
      <c r="F52" s="31"/>
      <c r="G52" s="31"/>
    </row>
    <row r="53" spans="5:7" ht="32.25" customHeight="1" x14ac:dyDescent="0.25">
      <c r="E53" s="31"/>
      <c r="F53" s="31"/>
      <c r="G53" s="31"/>
    </row>
    <row r="54" spans="5:7" ht="32.25" customHeight="1" x14ac:dyDescent="0.25">
      <c r="E54" s="31"/>
      <c r="F54" s="31"/>
      <c r="G54" s="31"/>
    </row>
    <row r="55" spans="5:7" ht="32.25" customHeight="1" x14ac:dyDescent="0.25">
      <c r="E55" s="31"/>
      <c r="F55" s="31"/>
      <c r="G55" s="31"/>
    </row>
    <row r="56" spans="5:7" ht="32.25" customHeight="1" x14ac:dyDescent="0.25">
      <c r="E56" s="31"/>
      <c r="F56" s="31"/>
      <c r="G56" s="31"/>
    </row>
    <row r="57" spans="5:7" ht="32.25" customHeight="1" x14ac:dyDescent="0.25">
      <c r="E57" s="31"/>
      <c r="F57" s="31"/>
      <c r="G57" s="31"/>
    </row>
    <row r="58" spans="5:7" ht="32.25" customHeight="1" x14ac:dyDescent="0.25">
      <c r="E58" s="31"/>
      <c r="F58" s="31"/>
      <c r="G58" s="31"/>
    </row>
    <row r="59" spans="5:7" ht="32.25" customHeight="1" x14ac:dyDescent="0.25">
      <c r="E59" s="31"/>
      <c r="F59" s="31"/>
      <c r="G59" s="31"/>
    </row>
    <row r="60" spans="5:7" ht="32.25" customHeight="1" x14ac:dyDescent="0.25"/>
    <row r="61" spans="5:7" ht="32.25" customHeight="1" x14ac:dyDescent="0.25"/>
  </sheetData>
  <autoFilter ref="A1:J33" xr:uid="{00000000-0009-0000-0000-000001000000}"/>
  <conditionalFormatting sqref="A1:A32 A34:A1048576">
    <cfRule type="cellIs" dxfId="227" priority="2" operator="equal">
      <formula>#REF!</formula>
    </cfRule>
  </conditionalFormatting>
  <conditionalFormatting sqref="C1:D1">
    <cfRule type="duplicateValues" dxfId="226" priority="1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41"/>
  <sheetViews>
    <sheetView rightToLeft="1" view="pageBreakPreview" zoomScale="25" zoomScaleNormal="10" zoomScaleSheetLayoutView="25" workbookViewId="0">
      <pane ySplit="2" topLeftCell="A3" activePane="bottomLeft" state="frozen"/>
      <selection activeCell="B1" sqref="B1"/>
      <selection pane="bottomLeft" activeCell="E7" sqref="E7"/>
    </sheetView>
  </sheetViews>
  <sheetFormatPr defaultColWidth="9" defaultRowHeight="46.5" x14ac:dyDescent="0.7"/>
  <cols>
    <col min="1" max="1" width="48.42578125" style="153" customWidth="1"/>
    <col min="2" max="2" width="52.42578125" style="153" customWidth="1"/>
    <col min="3" max="3" width="54" style="153" customWidth="1"/>
    <col min="4" max="4" width="52" style="153" customWidth="1"/>
    <col min="5" max="5" width="65.140625" style="153" bestFit="1" customWidth="1"/>
    <col min="6" max="6" width="70.140625" style="153" customWidth="1"/>
    <col min="7" max="7" width="72" style="153" customWidth="1"/>
    <col min="8" max="8" width="114.42578125" style="153" customWidth="1"/>
    <col min="9" max="9" width="251.5703125" style="419" bestFit="1" customWidth="1"/>
    <col min="10" max="10" width="75.140625" style="153" customWidth="1"/>
    <col min="11" max="16384" width="9" style="153"/>
  </cols>
  <sheetData>
    <row r="1" spans="1:10" ht="62.25" hidden="1" thickBot="1" x14ac:dyDescent="0.75">
      <c r="A1" s="256" t="s">
        <v>114</v>
      </c>
      <c r="B1" s="206" t="s">
        <v>113</v>
      </c>
    </row>
    <row r="2" spans="1:10" s="218" customFormat="1" ht="114" customHeight="1" thickBot="1" x14ac:dyDescent="0.95">
      <c r="A2" s="317" t="s">
        <v>132</v>
      </c>
      <c r="B2" s="318" t="s">
        <v>1</v>
      </c>
      <c r="C2" s="319" t="s">
        <v>86</v>
      </c>
      <c r="D2" s="319" t="s">
        <v>163</v>
      </c>
      <c r="E2" s="320" t="s">
        <v>2</v>
      </c>
      <c r="F2" s="320" t="s">
        <v>3</v>
      </c>
      <c r="G2" s="320" t="s">
        <v>4</v>
      </c>
      <c r="H2" s="319" t="s">
        <v>92</v>
      </c>
      <c r="I2" s="319" t="s">
        <v>6</v>
      </c>
      <c r="J2" s="319" t="s">
        <v>7</v>
      </c>
    </row>
    <row r="3" spans="1:10" s="218" customFormat="1" ht="102.75" customHeight="1" x14ac:dyDescent="0.9">
      <c r="A3" s="207"/>
      <c r="B3" s="208"/>
      <c r="C3" s="207"/>
      <c r="D3" s="207"/>
      <c r="E3" s="209"/>
      <c r="F3" s="209"/>
      <c r="G3" s="210">
        <v>88014</v>
      </c>
      <c r="H3" s="210" t="s">
        <v>129</v>
      </c>
      <c r="I3" s="217"/>
      <c r="J3" s="207"/>
    </row>
    <row r="4" spans="1:10" s="218" customFormat="1" ht="153.75" customHeight="1" x14ac:dyDescent="0.9">
      <c r="A4" s="206" t="s">
        <v>113</v>
      </c>
      <c r="B4" s="211">
        <v>45225</v>
      </c>
      <c r="C4" s="206"/>
      <c r="D4" s="206">
        <v>1198</v>
      </c>
      <c r="E4" s="212">
        <v>26000</v>
      </c>
      <c r="F4" s="212"/>
      <c r="G4" s="212">
        <f>G3+E4-F4</f>
        <v>114014</v>
      </c>
      <c r="H4" s="206" t="s">
        <v>439</v>
      </c>
      <c r="I4" s="224" t="s">
        <v>440</v>
      </c>
      <c r="J4" s="206"/>
    </row>
    <row r="5" spans="1:10" s="218" customFormat="1" ht="102.75" customHeight="1" x14ac:dyDescent="0.9">
      <c r="A5" s="207" t="s">
        <v>114</v>
      </c>
      <c r="B5" s="208">
        <v>45225</v>
      </c>
      <c r="C5" s="207"/>
      <c r="D5" s="207">
        <v>1199</v>
      </c>
      <c r="E5" s="209">
        <v>400000</v>
      </c>
      <c r="F5" s="209"/>
      <c r="G5" s="210">
        <f t="shared" ref="G5:G10" si="0">G4+E5-F5</f>
        <v>514014</v>
      </c>
      <c r="H5" s="210" t="s">
        <v>441</v>
      </c>
      <c r="I5" s="217" t="s">
        <v>442</v>
      </c>
      <c r="J5" s="207"/>
    </row>
    <row r="6" spans="1:10" s="218" customFormat="1" ht="153.75" customHeight="1" x14ac:dyDescent="0.9">
      <c r="A6" s="206" t="s">
        <v>114</v>
      </c>
      <c r="B6" s="211">
        <v>45225</v>
      </c>
      <c r="C6" s="206"/>
      <c r="D6" s="206">
        <v>1200</v>
      </c>
      <c r="E6" s="212">
        <v>50000</v>
      </c>
      <c r="F6" s="212"/>
      <c r="G6" s="212">
        <f t="shared" si="0"/>
        <v>564014</v>
      </c>
      <c r="H6" s="206" t="s">
        <v>443</v>
      </c>
      <c r="I6" s="224" t="s">
        <v>444</v>
      </c>
      <c r="J6" s="206"/>
    </row>
    <row r="7" spans="1:10" s="218" customFormat="1" ht="102.75" customHeight="1" x14ac:dyDescent="0.9">
      <c r="A7" s="207" t="s">
        <v>113</v>
      </c>
      <c r="B7" s="208">
        <v>45225</v>
      </c>
      <c r="C7" s="207"/>
      <c r="D7" s="207">
        <v>1251</v>
      </c>
      <c r="E7" s="209">
        <v>100000</v>
      </c>
      <c r="F7" s="209"/>
      <c r="G7" s="210">
        <f t="shared" si="0"/>
        <v>664014</v>
      </c>
      <c r="H7" s="210" t="s">
        <v>445</v>
      </c>
      <c r="I7" s="217" t="s">
        <v>446</v>
      </c>
      <c r="J7" s="207"/>
    </row>
    <row r="8" spans="1:10" s="218" customFormat="1" ht="153.75" customHeight="1" x14ac:dyDescent="0.9">
      <c r="A8" s="206"/>
      <c r="B8" s="211">
        <v>45225</v>
      </c>
      <c r="C8" s="206"/>
      <c r="D8" s="206" t="s">
        <v>297</v>
      </c>
      <c r="E8" s="212"/>
      <c r="F8" s="212"/>
      <c r="G8" s="212">
        <f t="shared" si="0"/>
        <v>664014</v>
      </c>
      <c r="H8" s="206"/>
      <c r="I8" s="224"/>
      <c r="J8" s="206"/>
    </row>
    <row r="9" spans="1:10" s="218" customFormat="1" ht="102.75" customHeight="1" x14ac:dyDescent="0.9">
      <c r="A9" s="207" t="s">
        <v>113</v>
      </c>
      <c r="B9" s="208">
        <v>45225</v>
      </c>
      <c r="C9" s="207">
        <v>1670</v>
      </c>
      <c r="D9" s="207"/>
      <c r="E9" s="209"/>
      <c r="F9" s="209">
        <v>50000</v>
      </c>
      <c r="G9" s="210">
        <f t="shared" si="0"/>
        <v>614014</v>
      </c>
      <c r="H9" s="210" t="s">
        <v>419</v>
      </c>
      <c r="I9" s="217" t="s">
        <v>433</v>
      </c>
      <c r="J9" s="207"/>
    </row>
    <row r="10" spans="1:10" s="218" customFormat="1" ht="153.75" customHeight="1" x14ac:dyDescent="0.9">
      <c r="A10" s="206" t="s">
        <v>113</v>
      </c>
      <c r="B10" s="211">
        <v>45225</v>
      </c>
      <c r="C10" s="206">
        <v>1671</v>
      </c>
      <c r="D10" s="206"/>
      <c r="E10" s="212"/>
      <c r="F10" s="212">
        <v>10000</v>
      </c>
      <c r="G10" s="212">
        <f t="shared" si="0"/>
        <v>604014</v>
      </c>
      <c r="H10" s="206" t="s">
        <v>420</v>
      </c>
      <c r="I10" s="224" t="s">
        <v>421</v>
      </c>
      <c r="J10" s="206"/>
    </row>
    <row r="11" spans="1:10" s="218" customFormat="1" ht="102.75" customHeight="1" x14ac:dyDescent="0.9">
      <c r="A11" s="207" t="s">
        <v>113</v>
      </c>
      <c r="B11" s="208">
        <v>45225</v>
      </c>
      <c r="C11" s="207">
        <v>1672</v>
      </c>
      <c r="D11" s="207"/>
      <c r="E11" s="209"/>
      <c r="F11" s="209">
        <v>970</v>
      </c>
      <c r="G11" s="210">
        <f t="shared" ref="G11:G26" si="1">+G10+E11-F11</f>
        <v>603044</v>
      </c>
      <c r="H11" s="210" t="s">
        <v>72</v>
      </c>
      <c r="I11" s="217" t="s">
        <v>422</v>
      </c>
      <c r="J11" s="207"/>
    </row>
    <row r="12" spans="1:10" s="218" customFormat="1" ht="153.75" customHeight="1" x14ac:dyDescent="0.9">
      <c r="A12" s="206" t="s">
        <v>113</v>
      </c>
      <c r="B12" s="211">
        <v>45225</v>
      </c>
      <c r="C12" s="206">
        <v>1673</v>
      </c>
      <c r="D12" s="206"/>
      <c r="E12" s="212"/>
      <c r="F12" s="212">
        <v>100</v>
      </c>
      <c r="G12" s="212">
        <f t="shared" si="1"/>
        <v>602944</v>
      </c>
      <c r="H12" s="206" t="s">
        <v>225</v>
      </c>
      <c r="I12" s="224" t="s">
        <v>255</v>
      </c>
      <c r="J12" s="206"/>
    </row>
    <row r="13" spans="1:10" s="218" customFormat="1" ht="102.75" customHeight="1" x14ac:dyDescent="0.9">
      <c r="A13" s="207" t="s">
        <v>113</v>
      </c>
      <c r="B13" s="208">
        <v>45225</v>
      </c>
      <c r="C13" s="207">
        <v>1674</v>
      </c>
      <c r="D13" s="207"/>
      <c r="E13" s="209"/>
      <c r="F13" s="209">
        <v>5000</v>
      </c>
      <c r="G13" s="210">
        <f t="shared" si="1"/>
        <v>597944</v>
      </c>
      <c r="H13" s="210" t="s">
        <v>199</v>
      </c>
      <c r="I13" s="217" t="s">
        <v>423</v>
      </c>
      <c r="J13" s="207"/>
    </row>
    <row r="14" spans="1:10" s="218" customFormat="1" ht="153.75" customHeight="1" x14ac:dyDescent="0.9">
      <c r="A14" s="206" t="s">
        <v>113</v>
      </c>
      <c r="B14" s="211">
        <v>45225</v>
      </c>
      <c r="C14" s="206">
        <v>1675</v>
      </c>
      <c r="D14" s="206"/>
      <c r="E14" s="212"/>
      <c r="F14" s="212">
        <v>6000</v>
      </c>
      <c r="G14" s="212">
        <f t="shared" si="1"/>
        <v>591944</v>
      </c>
      <c r="H14" s="206" t="s">
        <v>72</v>
      </c>
      <c r="I14" s="224" t="s">
        <v>377</v>
      </c>
      <c r="J14" s="206"/>
    </row>
    <row r="15" spans="1:10" s="218" customFormat="1" ht="102.75" customHeight="1" x14ac:dyDescent="0.9">
      <c r="A15" s="207" t="s">
        <v>113</v>
      </c>
      <c r="B15" s="208">
        <v>45225</v>
      </c>
      <c r="C15" s="207"/>
      <c r="D15" s="207"/>
      <c r="E15" s="209">
        <v>100000</v>
      </c>
      <c r="F15" s="209"/>
      <c r="G15" s="210">
        <f t="shared" si="1"/>
        <v>691944</v>
      </c>
      <c r="H15" s="210" t="s">
        <v>438</v>
      </c>
      <c r="I15" s="217"/>
      <c r="J15" s="207"/>
    </row>
    <row r="16" spans="1:10" s="218" customFormat="1" ht="153.75" customHeight="1" x14ac:dyDescent="0.9">
      <c r="A16" s="206" t="s">
        <v>113</v>
      </c>
      <c r="B16" s="211">
        <v>45225</v>
      </c>
      <c r="C16" s="206">
        <v>1676</v>
      </c>
      <c r="D16" s="206"/>
      <c r="E16" s="212"/>
      <c r="F16" s="212">
        <v>50000</v>
      </c>
      <c r="G16" s="212">
        <f t="shared" si="1"/>
        <v>641944</v>
      </c>
      <c r="H16" s="206" t="s">
        <v>424</v>
      </c>
      <c r="I16" s="224" t="s">
        <v>425</v>
      </c>
      <c r="J16" s="206"/>
    </row>
    <row r="17" spans="1:10" s="218" customFormat="1" ht="102.75" customHeight="1" x14ac:dyDescent="0.9">
      <c r="A17" s="207" t="s">
        <v>113</v>
      </c>
      <c r="B17" s="208">
        <v>45225</v>
      </c>
      <c r="C17" s="207">
        <v>1677</v>
      </c>
      <c r="D17" s="207"/>
      <c r="E17" s="209"/>
      <c r="F17" s="209">
        <v>50000</v>
      </c>
      <c r="G17" s="210">
        <f t="shared" si="1"/>
        <v>591944</v>
      </c>
      <c r="H17" s="210" t="s">
        <v>426</v>
      </c>
      <c r="I17" s="217" t="s">
        <v>427</v>
      </c>
      <c r="J17" s="207"/>
    </row>
    <row r="18" spans="1:10" s="218" customFormat="1" ht="153.75" customHeight="1" x14ac:dyDescent="0.9">
      <c r="A18" s="206" t="s">
        <v>113</v>
      </c>
      <c r="B18" s="211">
        <v>45225</v>
      </c>
      <c r="C18" s="206">
        <v>1678</v>
      </c>
      <c r="D18" s="206"/>
      <c r="E18" s="212"/>
      <c r="F18" s="212">
        <v>2420</v>
      </c>
      <c r="G18" s="212">
        <f t="shared" si="1"/>
        <v>589524</v>
      </c>
      <c r="H18" s="206" t="s">
        <v>152</v>
      </c>
      <c r="I18" s="224" t="s">
        <v>428</v>
      </c>
      <c r="J18" s="206"/>
    </row>
    <row r="19" spans="1:10" s="218" customFormat="1" ht="102.75" customHeight="1" x14ac:dyDescent="0.9">
      <c r="A19" s="207" t="s">
        <v>113</v>
      </c>
      <c r="B19" s="208">
        <v>45225</v>
      </c>
      <c r="C19" s="207">
        <v>1679</v>
      </c>
      <c r="D19" s="207"/>
      <c r="E19" s="209"/>
      <c r="F19" s="209">
        <v>1120</v>
      </c>
      <c r="G19" s="210">
        <f t="shared" si="1"/>
        <v>588404</v>
      </c>
      <c r="H19" s="210" t="s">
        <v>226</v>
      </c>
      <c r="I19" s="217" t="s">
        <v>429</v>
      </c>
      <c r="J19" s="207"/>
    </row>
    <row r="20" spans="1:10" s="218" customFormat="1" ht="153.75" customHeight="1" x14ac:dyDescent="0.9">
      <c r="A20" s="206" t="s">
        <v>113</v>
      </c>
      <c r="B20" s="211">
        <v>45225</v>
      </c>
      <c r="C20" s="206">
        <v>1680</v>
      </c>
      <c r="D20" s="206"/>
      <c r="E20" s="212"/>
      <c r="F20" s="212">
        <v>850</v>
      </c>
      <c r="G20" s="212">
        <f t="shared" si="1"/>
        <v>587554</v>
      </c>
      <c r="H20" s="206" t="s">
        <v>72</v>
      </c>
      <c r="I20" s="224" t="s">
        <v>437</v>
      </c>
      <c r="J20" s="206"/>
    </row>
    <row r="21" spans="1:10" s="218" customFormat="1" ht="102.75" customHeight="1" x14ac:dyDescent="0.9">
      <c r="A21" s="207" t="s">
        <v>114</v>
      </c>
      <c r="B21" s="208">
        <v>45225</v>
      </c>
      <c r="C21" s="207">
        <v>1681</v>
      </c>
      <c r="D21" s="207"/>
      <c r="E21" s="209"/>
      <c r="F21" s="209">
        <v>10000</v>
      </c>
      <c r="G21" s="210">
        <f t="shared" si="1"/>
        <v>577554</v>
      </c>
      <c r="H21" s="210" t="s">
        <v>401</v>
      </c>
      <c r="I21" s="217" t="s">
        <v>430</v>
      </c>
      <c r="J21" s="207"/>
    </row>
    <row r="22" spans="1:10" s="218" customFormat="1" ht="153.75" customHeight="1" x14ac:dyDescent="0.9">
      <c r="A22" s="206" t="s">
        <v>113</v>
      </c>
      <c r="B22" s="211">
        <v>45225</v>
      </c>
      <c r="C22" s="206">
        <v>1682</v>
      </c>
      <c r="D22" s="206"/>
      <c r="E22" s="212"/>
      <c r="F22" s="212">
        <v>100000</v>
      </c>
      <c r="G22" s="212">
        <f t="shared" si="1"/>
        <v>477554</v>
      </c>
      <c r="H22" s="206" t="s">
        <v>69</v>
      </c>
      <c r="I22" s="224" t="s">
        <v>431</v>
      </c>
      <c r="J22" s="206"/>
    </row>
    <row r="23" spans="1:10" s="218" customFormat="1" ht="102.75" customHeight="1" x14ac:dyDescent="0.9">
      <c r="A23" s="207" t="s">
        <v>113</v>
      </c>
      <c r="B23" s="208">
        <v>45225</v>
      </c>
      <c r="C23" s="207">
        <v>1683</v>
      </c>
      <c r="D23" s="207"/>
      <c r="E23" s="209"/>
      <c r="F23" s="209">
        <v>3125</v>
      </c>
      <c r="G23" s="210">
        <f t="shared" si="1"/>
        <v>474429</v>
      </c>
      <c r="H23" s="210" t="s">
        <v>378</v>
      </c>
      <c r="I23" s="217" t="s">
        <v>432</v>
      </c>
      <c r="J23" s="207"/>
    </row>
    <row r="24" spans="1:10" s="218" customFormat="1" ht="153.75" customHeight="1" x14ac:dyDescent="0.9">
      <c r="A24" s="206" t="s">
        <v>113</v>
      </c>
      <c r="B24" s="211">
        <v>45225</v>
      </c>
      <c r="C24" s="206"/>
      <c r="D24" s="206"/>
      <c r="E24" s="212">
        <v>1476</v>
      </c>
      <c r="F24" s="212"/>
      <c r="G24" s="212">
        <f t="shared" si="1"/>
        <v>475905</v>
      </c>
      <c r="H24" s="206" t="s">
        <v>435</v>
      </c>
      <c r="I24" s="224"/>
      <c r="J24" s="206"/>
    </row>
    <row r="25" spans="1:10" s="218" customFormat="1" ht="102.75" customHeight="1" x14ac:dyDescent="0.9">
      <c r="A25" s="207" t="s">
        <v>113</v>
      </c>
      <c r="B25" s="208">
        <v>45225</v>
      </c>
      <c r="C25" s="207"/>
      <c r="D25" s="207"/>
      <c r="E25" s="209">
        <v>1855</v>
      </c>
      <c r="F25" s="209"/>
      <c r="G25" s="210">
        <f t="shared" si="1"/>
        <v>477760</v>
      </c>
      <c r="H25" s="210" t="s">
        <v>434</v>
      </c>
      <c r="I25" s="217"/>
      <c r="J25" s="207"/>
    </row>
    <row r="26" spans="1:10" s="218" customFormat="1" ht="153.75" customHeight="1" thickBot="1" x14ac:dyDescent="0.95">
      <c r="A26" s="206" t="s">
        <v>113</v>
      </c>
      <c r="B26" s="211">
        <v>45225</v>
      </c>
      <c r="C26" s="206"/>
      <c r="D26" s="206"/>
      <c r="E26" s="212">
        <v>1785</v>
      </c>
      <c r="F26" s="212"/>
      <c r="G26" s="212">
        <f t="shared" si="1"/>
        <v>479545</v>
      </c>
      <c r="H26" s="206" t="s">
        <v>436</v>
      </c>
      <c r="I26" s="224"/>
      <c r="J26" s="206"/>
    </row>
    <row r="27" spans="1:10" ht="174.75" customHeight="1" thickTop="1" x14ac:dyDescent="0.7">
      <c r="A27" s="299"/>
      <c r="B27" s="109" t="s">
        <v>127</v>
      </c>
      <c r="C27" s="110" t="s">
        <v>115</v>
      </c>
      <c r="D27" s="110" t="s">
        <v>179</v>
      </c>
      <c r="E27" s="110" t="s">
        <v>116</v>
      </c>
      <c r="F27" s="100" t="s">
        <v>180</v>
      </c>
      <c r="G27" s="111" t="s">
        <v>211</v>
      </c>
      <c r="H27" s="300"/>
      <c r="I27" s="332"/>
      <c r="J27" s="257"/>
    </row>
    <row r="28" spans="1:10" ht="180.75" customHeight="1" thickBot="1" x14ac:dyDescent="0.75">
      <c r="A28" s="181"/>
      <c r="B28" s="102">
        <f>$G$3</f>
        <v>88014</v>
      </c>
      <c r="C28" s="103">
        <f>SUMIF(A4:A26,B1,E4:E$26)</f>
        <v>231116</v>
      </c>
      <c r="D28" s="103">
        <f>SUMIF(A3:A26,B1,F3:$F$26)</f>
        <v>279585</v>
      </c>
      <c r="E28" s="103">
        <f>SUMIF(A3:A26,A1,E3:$E$26)</f>
        <v>450000</v>
      </c>
      <c r="F28" s="103">
        <f>SUMIF(A3:A26,A1,F3:$F$26)</f>
        <v>10000</v>
      </c>
      <c r="G28" s="104">
        <f>+B28+C28+E28-D28-F28</f>
        <v>479545</v>
      </c>
      <c r="H28" s="184"/>
      <c r="I28" s="420"/>
      <c r="J28" s="258"/>
    </row>
    <row r="29" spans="1:10" ht="102.75" customHeight="1" thickTop="1" x14ac:dyDescent="0.7">
      <c r="A29" s="181"/>
      <c r="B29" s="181"/>
      <c r="C29" s="301">
        <f>+B28+C28-D28</f>
        <v>39545</v>
      </c>
      <c r="D29" s="562" t="s">
        <v>181</v>
      </c>
      <c r="E29" s="562"/>
      <c r="F29" s="562"/>
      <c r="G29" s="183"/>
      <c r="H29" s="184"/>
      <c r="I29" s="184"/>
      <c r="J29" s="207"/>
    </row>
    <row r="30" spans="1:10" s="218" customFormat="1" ht="102.75" customHeight="1" x14ac:dyDescent="0.9">
      <c r="A30" s="181"/>
      <c r="B30" s="181"/>
      <c r="C30" s="182"/>
      <c r="D30" s="568" t="s">
        <v>278</v>
      </c>
      <c r="E30" s="568"/>
      <c r="F30" s="568"/>
      <c r="G30" s="183"/>
      <c r="H30" s="184"/>
      <c r="I30" s="184">
        <v>4150</v>
      </c>
      <c r="J30" s="207"/>
    </row>
    <row r="31" spans="1:10" s="218" customFormat="1" ht="102.75" customHeight="1" x14ac:dyDescent="0.9">
      <c r="A31" s="181"/>
      <c r="B31" s="181"/>
      <c r="C31" s="182"/>
      <c r="D31" s="302" t="s">
        <v>279</v>
      </c>
      <c r="E31" s="302" t="s">
        <v>280</v>
      </c>
      <c r="F31" s="302" t="s">
        <v>281</v>
      </c>
      <c r="G31" s="183"/>
      <c r="H31" s="184"/>
      <c r="I31" s="184"/>
      <c r="J31" s="207"/>
    </row>
    <row r="32" spans="1:10" s="218" customFormat="1" ht="102.75" customHeight="1" x14ac:dyDescent="0.9">
      <c r="A32" s="181"/>
      <c r="B32" s="181"/>
      <c r="C32" s="181"/>
      <c r="D32" s="185">
        <f>102+23+13</f>
        <v>138</v>
      </c>
      <c r="E32" s="186">
        <v>200</v>
      </c>
      <c r="F32" s="186">
        <f>+E32*D32</f>
        <v>27600</v>
      </c>
      <c r="G32" s="183"/>
      <c r="H32" s="184"/>
      <c r="I32" s="184"/>
      <c r="J32" s="207"/>
    </row>
    <row r="33" spans="1:10" s="218" customFormat="1" ht="102.75" customHeight="1" x14ac:dyDescent="0.9">
      <c r="A33" s="181"/>
      <c r="B33" s="181"/>
      <c r="C33" s="181"/>
      <c r="D33" s="185">
        <f>6+38+10</f>
        <v>54</v>
      </c>
      <c r="E33" s="186">
        <v>100</v>
      </c>
      <c r="F33" s="186">
        <f t="shared" ref="F33:F38" si="2">+E33*D33</f>
        <v>5400</v>
      </c>
      <c r="G33" s="183"/>
      <c r="H33" s="184"/>
      <c r="I33" s="421"/>
      <c r="J33" s="207"/>
    </row>
    <row r="34" spans="1:10" s="218" customFormat="1" ht="102.75" customHeight="1" x14ac:dyDescent="0.9">
      <c r="A34" s="181"/>
      <c r="B34" s="181"/>
      <c r="C34" s="181"/>
      <c r="D34" s="185">
        <f>104+6+7</f>
        <v>117</v>
      </c>
      <c r="E34" s="186">
        <v>50</v>
      </c>
      <c r="F34" s="186">
        <f t="shared" si="2"/>
        <v>5850</v>
      </c>
      <c r="G34" s="183"/>
      <c r="H34" s="184"/>
      <c r="I34" s="184"/>
      <c r="J34" s="207"/>
    </row>
    <row r="35" spans="1:10" s="218" customFormat="1" ht="102.75" customHeight="1" x14ac:dyDescent="0.9">
      <c r="A35" s="181"/>
      <c r="B35" s="181"/>
      <c r="C35" s="181"/>
      <c r="D35" s="185">
        <f>6+10+7</f>
        <v>23</v>
      </c>
      <c r="E35" s="186">
        <v>20</v>
      </c>
      <c r="F35" s="186">
        <f t="shared" si="2"/>
        <v>460</v>
      </c>
      <c r="G35" s="183"/>
      <c r="H35" s="184"/>
      <c r="I35" s="184"/>
      <c r="J35" s="207"/>
    </row>
    <row r="36" spans="1:10" s="218" customFormat="1" ht="102.75" customHeight="1" x14ac:dyDescent="0.9">
      <c r="A36" s="181"/>
      <c r="B36" s="181"/>
      <c r="C36" s="181"/>
      <c r="D36" s="185">
        <f>5+3+5</f>
        <v>13</v>
      </c>
      <c r="E36" s="186">
        <v>10</v>
      </c>
      <c r="F36" s="186">
        <f t="shared" si="2"/>
        <v>130</v>
      </c>
      <c r="G36" s="183"/>
      <c r="H36" s="184"/>
      <c r="I36" s="184"/>
      <c r="J36" s="207"/>
    </row>
    <row r="37" spans="1:10" s="218" customFormat="1" ht="102.75" customHeight="1" x14ac:dyDescent="0.9">
      <c r="A37" s="181"/>
      <c r="B37" s="181"/>
      <c r="C37" s="181"/>
      <c r="D37" s="185">
        <f>20+2</f>
        <v>22</v>
      </c>
      <c r="E37" s="186">
        <v>5</v>
      </c>
      <c r="F37" s="186">
        <f t="shared" si="2"/>
        <v>110</v>
      </c>
      <c r="G37" s="183"/>
      <c r="H37" s="184"/>
      <c r="I37" s="184"/>
      <c r="J37" s="207"/>
    </row>
    <row r="38" spans="1:10" s="218" customFormat="1" ht="102.75" customHeight="1" thickBot="1" x14ac:dyDescent="0.95">
      <c r="A38" s="181"/>
      <c r="B38" s="181"/>
      <c r="C38" s="181"/>
      <c r="D38" s="303">
        <v>10</v>
      </c>
      <c r="E38" s="304">
        <v>1</v>
      </c>
      <c r="F38" s="304">
        <f t="shared" si="2"/>
        <v>10</v>
      </c>
      <c r="G38" s="183"/>
      <c r="H38" s="184"/>
      <c r="I38" s="184"/>
      <c r="J38" s="207"/>
    </row>
    <row r="39" spans="1:10" s="218" customFormat="1" ht="102.75" customHeight="1" x14ac:dyDescent="0.9">
      <c r="A39" s="181"/>
      <c r="B39" s="181"/>
      <c r="C39" s="181"/>
      <c r="D39" s="305"/>
      <c r="E39" s="306" t="s">
        <v>283</v>
      </c>
      <c r="F39" s="307">
        <f>SUM(F32:F38)</f>
        <v>39560</v>
      </c>
      <c r="G39" s="183"/>
      <c r="H39" s="184"/>
      <c r="I39" s="184"/>
      <c r="J39" s="207"/>
    </row>
    <row r="40" spans="1:10" s="218" customFormat="1" ht="102.75" customHeight="1" x14ac:dyDescent="0.9">
      <c r="A40" s="181"/>
      <c r="B40" s="181"/>
      <c r="C40" s="181"/>
      <c r="D40" s="308"/>
      <c r="E40" s="309" t="s">
        <v>282</v>
      </c>
      <c r="F40" s="310">
        <f>C29</f>
        <v>39545</v>
      </c>
      <c r="G40" s="183"/>
      <c r="H40" s="184"/>
      <c r="I40" s="184"/>
      <c r="J40" s="207"/>
    </row>
    <row r="41" spans="1:10" s="218" customFormat="1" ht="102.75" customHeight="1" thickBot="1" x14ac:dyDescent="0.95">
      <c r="A41" s="181"/>
      <c r="B41" s="181"/>
      <c r="C41" s="181"/>
      <c r="D41" s="311"/>
      <c r="E41" s="312" t="s">
        <v>284</v>
      </c>
      <c r="F41" s="313">
        <f>+F39-F40</f>
        <v>15</v>
      </c>
      <c r="G41" s="183"/>
      <c r="H41" s="184"/>
      <c r="I41" s="184"/>
      <c r="J41" s="207"/>
    </row>
  </sheetData>
  <mergeCells count="2">
    <mergeCell ref="D29:F29"/>
    <mergeCell ref="D30:F30"/>
  </mergeCells>
  <conditionalFormatting sqref="A1">
    <cfRule type="cellIs" dxfId="131" priority="3" operator="equal">
      <formula>#REF!</formula>
    </cfRule>
  </conditionalFormatting>
  <conditionalFormatting sqref="A2:A4 A27:A41">
    <cfRule type="cellIs" dxfId="130" priority="17" operator="equal">
      <formula>#REF!</formula>
    </cfRule>
  </conditionalFormatting>
  <conditionalFormatting sqref="A5:A26">
    <cfRule type="cellIs" dxfId="129" priority="1" operator="equal">
      <formula>#REF!</formula>
    </cfRule>
  </conditionalFormatting>
  <conditionalFormatting sqref="B1">
    <cfRule type="cellIs" dxfId="128" priority="2" operator="equal">
      <formula>#REF!</formula>
    </cfRule>
  </conditionalFormatting>
  <conditionalFormatting sqref="C2:D2">
    <cfRule type="duplicateValues" dxfId="127" priority="16"/>
  </conditionalFormatting>
  <printOptions horizontalCentered="1" verticalCentered="1"/>
  <pageMargins left="0" right="0" top="0" bottom="0" header="0" footer="0"/>
  <pageSetup paperSize="9" scale="15" fitToHeight="2" orientation="landscape" blackAndWhite="1" r:id="rId1"/>
  <rowBreaks count="1" manualBreakCount="1">
    <brk id="2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J27"/>
  <sheetViews>
    <sheetView rightToLeft="1" view="pageBreakPreview" zoomScale="25" zoomScaleNormal="10" zoomScaleSheetLayoutView="25" workbookViewId="0">
      <pane ySplit="2" topLeftCell="A12" activePane="bottomLeft" state="frozen"/>
      <selection activeCell="B1" sqref="B1"/>
      <selection pane="bottomLeft" activeCell="C14" sqref="C14"/>
    </sheetView>
  </sheetViews>
  <sheetFormatPr defaultColWidth="9" defaultRowHeight="46.5" x14ac:dyDescent="0.7"/>
  <cols>
    <col min="1" max="1" width="37.42578125" style="153" customWidth="1"/>
    <col min="2" max="2" width="52.42578125" style="153" customWidth="1"/>
    <col min="3" max="3" width="54" style="153" customWidth="1"/>
    <col min="4" max="4" width="52" style="153" customWidth="1"/>
    <col min="5" max="5" width="65.140625" style="153" bestFit="1" customWidth="1"/>
    <col min="6" max="6" width="70.140625" style="153" customWidth="1"/>
    <col min="7" max="7" width="72" style="153" customWidth="1"/>
    <col min="8" max="8" width="114.42578125" style="153" customWidth="1"/>
    <col min="9" max="9" width="251.5703125" style="153" bestFit="1" customWidth="1"/>
    <col min="10" max="10" width="75.140625" style="153" customWidth="1"/>
    <col min="11" max="16384" width="9" style="153"/>
  </cols>
  <sheetData>
    <row r="1" spans="1:10" ht="123.75" hidden="1" thickBot="1" x14ac:dyDescent="0.75">
      <c r="A1" s="256" t="s">
        <v>114</v>
      </c>
      <c r="B1" s="206" t="s">
        <v>113</v>
      </c>
    </row>
    <row r="2" spans="1:10" s="218" customFormat="1" ht="114" customHeight="1" thickBot="1" x14ac:dyDescent="0.95">
      <c r="A2" s="317" t="s">
        <v>132</v>
      </c>
      <c r="B2" s="318" t="s">
        <v>1</v>
      </c>
      <c r="C2" s="319" t="s">
        <v>86</v>
      </c>
      <c r="D2" s="319" t="s">
        <v>163</v>
      </c>
      <c r="E2" s="320" t="s">
        <v>2</v>
      </c>
      <c r="F2" s="320" t="s">
        <v>3</v>
      </c>
      <c r="G2" s="320" t="s">
        <v>4</v>
      </c>
      <c r="H2" s="319" t="s">
        <v>92</v>
      </c>
      <c r="I2" s="319" t="s">
        <v>6</v>
      </c>
      <c r="J2" s="319" t="s">
        <v>7</v>
      </c>
    </row>
    <row r="3" spans="1:10" s="218" customFormat="1" ht="102.75" customHeight="1" x14ac:dyDescent="0.9">
      <c r="A3" s="207"/>
      <c r="B3" s="208"/>
      <c r="C3" s="207"/>
      <c r="D3" s="207"/>
      <c r="E3" s="209"/>
      <c r="F3" s="209"/>
      <c r="G3" s="210">
        <v>39545</v>
      </c>
      <c r="H3" s="210" t="s">
        <v>129</v>
      </c>
      <c r="I3" s="207"/>
      <c r="J3" s="207"/>
    </row>
    <row r="4" spans="1:10" s="218" customFormat="1" ht="153.75" customHeight="1" x14ac:dyDescent="0.9">
      <c r="A4" s="206" t="s">
        <v>113</v>
      </c>
      <c r="B4" s="211">
        <v>45227</v>
      </c>
      <c r="C4" s="206"/>
      <c r="D4" s="206">
        <v>1201</v>
      </c>
      <c r="E4" s="212">
        <v>72750</v>
      </c>
      <c r="F4" s="212"/>
      <c r="G4" s="212">
        <f>G3+E4-F4</f>
        <v>112295</v>
      </c>
      <c r="H4" s="206" t="s">
        <v>447</v>
      </c>
      <c r="I4" s="224" t="s">
        <v>448</v>
      </c>
      <c r="J4" s="206"/>
    </row>
    <row r="5" spans="1:10" s="218" customFormat="1" ht="102.75" customHeight="1" x14ac:dyDescent="0.9">
      <c r="A5" s="207" t="s">
        <v>113</v>
      </c>
      <c r="B5" s="211">
        <v>45227</v>
      </c>
      <c r="C5" s="207"/>
      <c r="D5" s="207">
        <v>1202</v>
      </c>
      <c r="E5" s="209">
        <v>90000</v>
      </c>
      <c r="F5" s="209"/>
      <c r="G5" s="210">
        <f t="shared" ref="G5:G10" si="0">G4+E5-F5</f>
        <v>202295</v>
      </c>
      <c r="H5" s="210" t="s">
        <v>449</v>
      </c>
      <c r="I5" s="217" t="s">
        <v>450</v>
      </c>
      <c r="J5" s="207"/>
    </row>
    <row r="6" spans="1:10" s="218" customFormat="1" ht="153.75" customHeight="1" x14ac:dyDescent="0.9">
      <c r="A6" s="206" t="s">
        <v>113</v>
      </c>
      <c r="B6" s="211">
        <v>45227</v>
      </c>
      <c r="C6" s="206">
        <v>1684</v>
      </c>
      <c r="D6" s="206"/>
      <c r="E6" s="212"/>
      <c r="F6" s="212">
        <v>5000</v>
      </c>
      <c r="G6" s="212">
        <f t="shared" si="0"/>
        <v>197295</v>
      </c>
      <c r="H6" s="206" t="s">
        <v>414</v>
      </c>
      <c r="I6" s="224" t="s">
        <v>451</v>
      </c>
      <c r="J6" s="206"/>
    </row>
    <row r="7" spans="1:10" s="218" customFormat="1" ht="102.75" customHeight="1" x14ac:dyDescent="0.9">
      <c r="A7" s="207" t="s">
        <v>113</v>
      </c>
      <c r="B7" s="211">
        <v>45227</v>
      </c>
      <c r="C7" s="207">
        <v>1685</v>
      </c>
      <c r="D7" s="207"/>
      <c r="E7" s="209"/>
      <c r="F7" s="209">
        <v>30000</v>
      </c>
      <c r="G7" s="210">
        <f t="shared" si="0"/>
        <v>167295</v>
      </c>
      <c r="H7" s="210" t="s">
        <v>235</v>
      </c>
      <c r="I7" s="217" t="s">
        <v>452</v>
      </c>
      <c r="J7" s="207"/>
    </row>
    <row r="8" spans="1:10" s="218" customFormat="1" ht="153.75" customHeight="1" x14ac:dyDescent="0.9">
      <c r="A8" s="206" t="s">
        <v>113</v>
      </c>
      <c r="B8" s="211">
        <v>45227</v>
      </c>
      <c r="C8" s="206">
        <v>1686</v>
      </c>
      <c r="D8" s="206"/>
      <c r="E8" s="212"/>
      <c r="F8" s="212">
        <v>40</v>
      </c>
      <c r="G8" s="212">
        <f t="shared" si="0"/>
        <v>167255</v>
      </c>
      <c r="H8" s="206" t="s">
        <v>72</v>
      </c>
      <c r="I8" s="224" t="s">
        <v>466</v>
      </c>
      <c r="J8" s="206"/>
    </row>
    <row r="9" spans="1:10" s="218" customFormat="1" ht="102.75" customHeight="1" x14ac:dyDescent="0.9">
      <c r="A9" s="207" t="s">
        <v>113</v>
      </c>
      <c r="B9" s="211">
        <v>45227</v>
      </c>
      <c r="C9" s="207">
        <v>1687</v>
      </c>
      <c r="D9" s="207"/>
      <c r="E9" s="209"/>
      <c r="F9" s="209">
        <v>100000</v>
      </c>
      <c r="G9" s="210">
        <f t="shared" si="0"/>
        <v>67255</v>
      </c>
      <c r="H9" s="210" t="s">
        <v>66</v>
      </c>
      <c r="I9" s="217" t="s">
        <v>453</v>
      </c>
      <c r="J9" s="207"/>
    </row>
    <row r="10" spans="1:10" s="218" customFormat="1" ht="153.75" customHeight="1" x14ac:dyDescent="0.9">
      <c r="A10" s="206" t="s">
        <v>113</v>
      </c>
      <c r="B10" s="211">
        <v>45227</v>
      </c>
      <c r="C10" s="206">
        <v>1688</v>
      </c>
      <c r="D10" s="206"/>
      <c r="E10" s="212"/>
      <c r="F10" s="212">
        <v>15000</v>
      </c>
      <c r="G10" s="212">
        <f t="shared" si="0"/>
        <v>52255</v>
      </c>
      <c r="H10" s="206" t="s">
        <v>335</v>
      </c>
      <c r="I10" s="224" t="s">
        <v>77</v>
      </c>
      <c r="J10" s="206"/>
    </row>
    <row r="11" spans="1:10" s="218" customFormat="1" ht="102.75" customHeight="1" x14ac:dyDescent="0.9">
      <c r="A11" s="207" t="s">
        <v>113</v>
      </c>
      <c r="B11" s="211">
        <v>45227</v>
      </c>
      <c r="C11" s="207">
        <v>1689</v>
      </c>
      <c r="D11" s="207"/>
      <c r="E11" s="209"/>
      <c r="F11" s="209">
        <v>250</v>
      </c>
      <c r="G11" s="210">
        <f t="shared" ref="G11:G12" si="1">+G10+E11-F11</f>
        <v>52005</v>
      </c>
      <c r="H11" s="210" t="s">
        <v>308</v>
      </c>
      <c r="I11" s="217" t="s">
        <v>454</v>
      </c>
      <c r="J11" s="207"/>
    </row>
    <row r="12" spans="1:10" s="218" customFormat="1" ht="153.75" customHeight="1" thickBot="1" x14ac:dyDescent="0.95">
      <c r="A12" s="206" t="s">
        <v>113</v>
      </c>
      <c r="B12" s="211">
        <v>45227</v>
      </c>
      <c r="C12" s="206">
        <v>1690</v>
      </c>
      <c r="D12" s="206"/>
      <c r="E12" s="212"/>
      <c r="F12" s="212">
        <v>21800</v>
      </c>
      <c r="G12" s="212">
        <f t="shared" si="1"/>
        <v>30205</v>
      </c>
      <c r="H12" s="206" t="s">
        <v>401</v>
      </c>
      <c r="I12" s="224" t="s">
        <v>455</v>
      </c>
      <c r="J12" s="206"/>
    </row>
    <row r="13" spans="1:10" ht="174.75" customHeight="1" thickTop="1" x14ac:dyDescent="0.7">
      <c r="A13" s="299"/>
      <c r="B13" s="109" t="s">
        <v>127</v>
      </c>
      <c r="C13" s="110" t="s">
        <v>115</v>
      </c>
      <c r="D13" s="110" t="s">
        <v>179</v>
      </c>
      <c r="E13" s="110" t="s">
        <v>116</v>
      </c>
      <c r="F13" s="100" t="s">
        <v>180</v>
      </c>
      <c r="G13" s="111" t="s">
        <v>211</v>
      </c>
      <c r="H13" s="300"/>
      <c r="I13" s="332"/>
      <c r="J13" s="257"/>
    </row>
    <row r="14" spans="1:10" ht="180.75" customHeight="1" thickBot="1" x14ac:dyDescent="0.75">
      <c r="A14" s="181"/>
      <c r="B14" s="102">
        <f>$G$3</f>
        <v>39545</v>
      </c>
      <c r="C14" s="103">
        <f>SUMIF(A4:A12,B1,E4:E$12)</f>
        <v>162750</v>
      </c>
      <c r="D14" s="103">
        <f>SUMIF(A3:A12,B1,F3:$F$12)</f>
        <v>172090</v>
      </c>
      <c r="E14" s="103">
        <f>SUMIF(A3:A12,A1,E3:$E$12)</f>
        <v>0</v>
      </c>
      <c r="F14" s="103">
        <f>SUMIF(A3:A12,A1,F3:$F$12)</f>
        <v>0</v>
      </c>
      <c r="G14" s="104">
        <f>+B14+C14+E14-D14-F14</f>
        <v>30205</v>
      </c>
      <c r="H14" s="184"/>
      <c r="I14" s="105"/>
      <c r="J14" s="258"/>
    </row>
    <row r="15" spans="1:10" ht="102.75" customHeight="1" thickTop="1" x14ac:dyDescent="0.7">
      <c r="A15" s="181"/>
      <c r="B15" s="181"/>
      <c r="C15" s="301">
        <f>+B14+C14-D14</f>
        <v>30205</v>
      </c>
      <c r="D15" s="562" t="s">
        <v>181</v>
      </c>
      <c r="E15" s="562"/>
      <c r="F15" s="562"/>
      <c r="G15" s="183"/>
      <c r="H15" s="184"/>
      <c r="I15" s="181"/>
      <c r="J15" s="207"/>
    </row>
    <row r="16" spans="1:10" s="218" customFormat="1" ht="102.75" customHeight="1" x14ac:dyDescent="0.9">
      <c r="A16" s="181"/>
      <c r="B16" s="181"/>
      <c r="C16" s="182"/>
      <c r="D16" s="568" t="s">
        <v>278</v>
      </c>
      <c r="E16" s="568"/>
      <c r="F16" s="568"/>
      <c r="G16" s="183"/>
      <c r="H16" s="184"/>
      <c r="I16" s="181"/>
      <c r="J16" s="207"/>
    </row>
    <row r="17" spans="1:10" s="218" customFormat="1" ht="102.75" customHeight="1" x14ac:dyDescent="0.9">
      <c r="A17" s="181"/>
      <c r="B17" s="181"/>
      <c r="C17" s="182"/>
      <c r="D17" s="302" t="s">
        <v>279</v>
      </c>
      <c r="E17" s="302" t="s">
        <v>280</v>
      </c>
      <c r="F17" s="302" t="s">
        <v>281</v>
      </c>
      <c r="G17" s="183"/>
      <c r="H17" s="184"/>
      <c r="I17" s="181"/>
      <c r="J17" s="207"/>
    </row>
    <row r="18" spans="1:10" s="218" customFormat="1" ht="102.75" customHeight="1" x14ac:dyDescent="0.9">
      <c r="A18" s="181"/>
      <c r="B18" s="181"/>
      <c r="C18" s="181"/>
      <c r="D18" s="185">
        <v>80</v>
      </c>
      <c r="E18" s="186">
        <v>200</v>
      </c>
      <c r="F18" s="186">
        <f>+E18*D18</f>
        <v>16000</v>
      </c>
      <c r="G18" s="183"/>
      <c r="H18" s="184"/>
      <c r="I18" s="181"/>
      <c r="J18" s="207"/>
    </row>
    <row r="19" spans="1:10" s="218" customFormat="1" ht="102.75" customHeight="1" x14ac:dyDescent="0.9">
      <c r="A19" s="181"/>
      <c r="B19" s="181"/>
      <c r="C19" s="181"/>
      <c r="D19" s="185">
        <v>120</v>
      </c>
      <c r="E19" s="186">
        <v>100</v>
      </c>
      <c r="F19" s="186">
        <f t="shared" ref="F19:F24" si="2">+E19*D19</f>
        <v>12000</v>
      </c>
      <c r="G19" s="183"/>
      <c r="H19" s="184"/>
      <c r="I19" s="183"/>
      <c r="J19" s="207"/>
    </row>
    <row r="20" spans="1:10" s="218" customFormat="1" ht="102.75" customHeight="1" x14ac:dyDescent="0.9">
      <c r="A20" s="181"/>
      <c r="B20" s="181"/>
      <c r="C20" s="181"/>
      <c r="D20" s="185">
        <v>32</v>
      </c>
      <c r="E20" s="186">
        <v>50</v>
      </c>
      <c r="F20" s="186">
        <f t="shared" si="2"/>
        <v>1600</v>
      </c>
      <c r="G20" s="183"/>
      <c r="H20" s="184"/>
      <c r="I20" s="181"/>
      <c r="J20" s="207"/>
    </row>
    <row r="21" spans="1:10" s="218" customFormat="1" ht="102.75" customHeight="1" x14ac:dyDescent="0.9">
      <c r="A21" s="181"/>
      <c r="B21" s="181"/>
      <c r="C21" s="181"/>
      <c r="D21" s="185">
        <v>18</v>
      </c>
      <c r="E21" s="186">
        <v>20</v>
      </c>
      <c r="F21" s="186">
        <f t="shared" si="2"/>
        <v>360</v>
      </c>
      <c r="G21" s="183"/>
      <c r="H21" s="184"/>
      <c r="I21" s="181"/>
      <c r="J21" s="207"/>
    </row>
    <row r="22" spans="1:10" s="218" customFormat="1" ht="102.75" customHeight="1" x14ac:dyDescent="0.9">
      <c r="A22" s="181"/>
      <c r="B22" s="181"/>
      <c r="C22" s="181"/>
      <c r="D22" s="185">
        <v>14</v>
      </c>
      <c r="E22" s="186">
        <v>10</v>
      </c>
      <c r="F22" s="186">
        <f t="shared" si="2"/>
        <v>140</v>
      </c>
      <c r="G22" s="183"/>
      <c r="H22" s="184"/>
      <c r="I22" s="181"/>
      <c r="J22" s="207"/>
    </row>
    <row r="23" spans="1:10" s="218" customFormat="1" ht="102.75" customHeight="1" x14ac:dyDescent="0.9">
      <c r="A23" s="181"/>
      <c r="B23" s="181"/>
      <c r="C23" s="181"/>
      <c r="D23" s="185">
        <v>22</v>
      </c>
      <c r="E23" s="186">
        <v>5</v>
      </c>
      <c r="F23" s="186">
        <f t="shared" si="2"/>
        <v>110</v>
      </c>
      <c r="G23" s="183"/>
      <c r="H23" s="184"/>
      <c r="I23" s="181"/>
      <c r="J23" s="207"/>
    </row>
    <row r="24" spans="1:10" s="218" customFormat="1" ht="102.75" customHeight="1" thickBot="1" x14ac:dyDescent="0.95">
      <c r="A24" s="181"/>
      <c r="B24" s="181"/>
      <c r="C24" s="181"/>
      <c r="D24" s="303">
        <v>10</v>
      </c>
      <c r="E24" s="304">
        <v>1</v>
      </c>
      <c r="F24" s="304">
        <f t="shared" si="2"/>
        <v>10</v>
      </c>
      <c r="G24" s="183"/>
      <c r="H24" s="184"/>
      <c r="I24" s="181"/>
      <c r="J24" s="207"/>
    </row>
    <row r="25" spans="1:10" s="218" customFormat="1" ht="102.75" customHeight="1" x14ac:dyDescent="0.9">
      <c r="A25" s="181"/>
      <c r="B25" s="181"/>
      <c r="C25" s="181"/>
      <c r="D25" s="305"/>
      <c r="E25" s="306" t="s">
        <v>283</v>
      </c>
      <c r="F25" s="307">
        <f>SUM(F18:F24)</f>
        <v>30220</v>
      </c>
      <c r="G25" s="183"/>
      <c r="H25" s="184"/>
      <c r="I25" s="181"/>
      <c r="J25" s="207"/>
    </row>
    <row r="26" spans="1:10" s="218" customFormat="1" ht="102.75" customHeight="1" x14ac:dyDescent="0.9">
      <c r="A26" s="181"/>
      <c r="B26" s="181"/>
      <c r="C26" s="181"/>
      <c r="D26" s="308"/>
      <c r="E26" s="309" t="s">
        <v>282</v>
      </c>
      <c r="F26" s="310">
        <f>C15</f>
        <v>30205</v>
      </c>
      <c r="G26" s="183"/>
      <c r="H26" s="184"/>
      <c r="I26" s="181"/>
      <c r="J26" s="207"/>
    </row>
    <row r="27" spans="1:10" s="218" customFormat="1" ht="102.75" customHeight="1" thickBot="1" x14ac:dyDescent="0.95">
      <c r="A27" s="181"/>
      <c r="B27" s="181"/>
      <c r="C27" s="181"/>
      <c r="D27" s="311"/>
      <c r="E27" s="312" t="s">
        <v>284</v>
      </c>
      <c r="F27" s="313">
        <f>+F25-F26</f>
        <v>15</v>
      </c>
      <c r="G27" s="183"/>
      <c r="H27" s="184"/>
      <c r="I27" s="181"/>
      <c r="J27" s="207"/>
    </row>
  </sheetData>
  <mergeCells count="2">
    <mergeCell ref="D15:F15"/>
    <mergeCell ref="D16:F16"/>
  </mergeCells>
  <conditionalFormatting sqref="A1">
    <cfRule type="cellIs" dxfId="126" priority="3" operator="equal">
      <formula>#REF!</formula>
    </cfRule>
  </conditionalFormatting>
  <conditionalFormatting sqref="A2:A4 A13:A27">
    <cfRule type="cellIs" dxfId="125" priority="5" operator="equal">
      <formula>#REF!</formula>
    </cfRule>
  </conditionalFormatting>
  <conditionalFormatting sqref="A5:A12">
    <cfRule type="cellIs" dxfId="124" priority="1" operator="equal">
      <formula>#REF!</formula>
    </cfRule>
  </conditionalFormatting>
  <conditionalFormatting sqref="B1">
    <cfRule type="cellIs" dxfId="123" priority="2" operator="equal">
      <formula>#REF!</formula>
    </cfRule>
  </conditionalFormatting>
  <conditionalFormatting sqref="C2:D2">
    <cfRule type="duplicateValues" dxfId="122" priority="4"/>
  </conditionalFormatting>
  <printOptions horizontalCentered="1" verticalCentered="1"/>
  <pageMargins left="0" right="0" top="0" bottom="0" header="0" footer="0"/>
  <pageSetup paperSize="9" scale="17" orientation="landscape" blackAndWhite="1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J51"/>
  <sheetViews>
    <sheetView rightToLeft="1" view="pageBreakPreview" zoomScale="25" zoomScaleNormal="10" zoomScaleSheetLayoutView="25" workbookViewId="0">
      <pane ySplit="2" topLeftCell="A3" activePane="bottomLeft" state="frozen"/>
      <selection activeCell="F10" sqref="F10"/>
      <selection pane="bottomLeft" activeCell="H12" sqref="H12"/>
    </sheetView>
  </sheetViews>
  <sheetFormatPr defaultColWidth="42.85546875" defaultRowHeight="75" customHeight="1" x14ac:dyDescent="0.55000000000000004"/>
  <cols>
    <col min="1" max="1" width="29.42578125" style="334" customWidth="1"/>
    <col min="2" max="2" width="37" style="334" customWidth="1"/>
    <col min="3" max="3" width="41.7109375" style="334" bestFit="1" customWidth="1"/>
    <col min="4" max="4" width="56" style="334" bestFit="1" customWidth="1"/>
    <col min="5" max="5" width="64.7109375" style="334" customWidth="1"/>
    <col min="6" max="6" width="59.85546875" style="334" customWidth="1"/>
    <col min="7" max="7" width="56.140625" style="334" bestFit="1" customWidth="1"/>
    <col min="8" max="8" width="81.28515625" style="334" customWidth="1"/>
    <col min="9" max="9" width="156" style="334" bestFit="1" customWidth="1"/>
    <col min="10" max="10" width="65.42578125" style="334" customWidth="1"/>
    <col min="11" max="16384" width="42.85546875" style="334"/>
  </cols>
  <sheetData>
    <row r="1" spans="1:10" ht="75" hidden="1" customHeight="1" thickBot="1" x14ac:dyDescent="0.6">
      <c r="A1" s="170" t="s">
        <v>114</v>
      </c>
      <c r="B1" s="333" t="s">
        <v>113</v>
      </c>
    </row>
    <row r="2" spans="1:10" s="218" customFormat="1" ht="183" customHeight="1" thickBot="1" x14ac:dyDescent="0.95">
      <c r="A2" s="317" t="s">
        <v>132</v>
      </c>
      <c r="B2" s="318" t="s">
        <v>1</v>
      </c>
      <c r="C2" s="319" t="s">
        <v>86</v>
      </c>
      <c r="D2" s="319" t="s">
        <v>163</v>
      </c>
      <c r="E2" s="320" t="s">
        <v>2</v>
      </c>
      <c r="F2" s="320" t="s">
        <v>3</v>
      </c>
      <c r="G2" s="320" t="s">
        <v>4</v>
      </c>
      <c r="H2" s="319" t="s">
        <v>92</v>
      </c>
      <c r="I2" s="319" t="s">
        <v>6</v>
      </c>
      <c r="J2" s="319" t="s">
        <v>7</v>
      </c>
    </row>
    <row r="3" spans="1:10" ht="75" customHeight="1" x14ac:dyDescent="0.55000000000000004">
      <c r="A3" s="161"/>
      <c r="B3" s="162"/>
      <c r="C3" s="161"/>
      <c r="D3" s="161"/>
      <c r="E3" s="163"/>
      <c r="F3" s="163"/>
      <c r="G3" s="156">
        <v>30205</v>
      </c>
      <c r="H3" s="156" t="s">
        <v>129</v>
      </c>
      <c r="I3" s="161"/>
      <c r="J3" s="161"/>
    </row>
    <row r="4" spans="1:10" ht="75" customHeight="1" x14ac:dyDescent="0.55000000000000004">
      <c r="A4" s="165" t="s">
        <v>113</v>
      </c>
      <c r="B4" s="166">
        <v>45228</v>
      </c>
      <c r="C4" s="165"/>
      <c r="D4" s="165"/>
      <c r="E4" s="167">
        <v>50000</v>
      </c>
      <c r="F4" s="167"/>
      <c r="G4" s="167">
        <f>G3+E4-F4</f>
        <v>80205</v>
      </c>
      <c r="H4" s="165" t="s">
        <v>438</v>
      </c>
      <c r="I4" s="168"/>
      <c r="J4" s="165"/>
    </row>
    <row r="5" spans="1:10" ht="75" customHeight="1" x14ac:dyDescent="0.55000000000000004">
      <c r="A5" s="335" t="s">
        <v>113</v>
      </c>
      <c r="B5" s="336">
        <v>45228</v>
      </c>
      <c r="C5" s="335">
        <v>1691</v>
      </c>
      <c r="D5" s="335"/>
      <c r="E5" s="337"/>
      <c r="F5" s="337">
        <v>80000</v>
      </c>
      <c r="G5" s="338">
        <f t="shared" ref="G5:G14" si="0">G4+E5-F5</f>
        <v>205</v>
      </c>
      <c r="H5" s="338" t="s">
        <v>419</v>
      </c>
      <c r="I5" s="339"/>
      <c r="J5" s="335"/>
    </row>
    <row r="6" spans="1:10" ht="75" customHeight="1" x14ac:dyDescent="0.55000000000000004">
      <c r="A6" s="165" t="s">
        <v>113</v>
      </c>
      <c r="B6" s="166">
        <v>45228</v>
      </c>
      <c r="C6" s="165"/>
      <c r="D6" s="165"/>
      <c r="E6" s="167">
        <v>350000</v>
      </c>
      <c r="F6" s="167"/>
      <c r="G6" s="167">
        <f t="shared" si="0"/>
        <v>350205</v>
      </c>
      <c r="H6" s="165" t="s">
        <v>438</v>
      </c>
      <c r="I6" s="168"/>
      <c r="J6" s="165"/>
    </row>
    <row r="7" spans="1:10" ht="75" customHeight="1" x14ac:dyDescent="0.55000000000000004">
      <c r="A7" s="335" t="s">
        <v>113</v>
      </c>
      <c r="B7" s="336">
        <v>45228</v>
      </c>
      <c r="C7" s="335">
        <v>1692</v>
      </c>
      <c r="D7" s="335"/>
      <c r="E7" s="337"/>
      <c r="F7" s="337">
        <v>350000</v>
      </c>
      <c r="G7" s="338">
        <f t="shared" si="0"/>
        <v>205</v>
      </c>
      <c r="H7" s="338" t="s">
        <v>456</v>
      </c>
      <c r="I7" s="339"/>
      <c r="J7" s="335"/>
    </row>
    <row r="8" spans="1:10" ht="75" customHeight="1" x14ac:dyDescent="0.55000000000000004">
      <c r="A8" s="165" t="s">
        <v>113</v>
      </c>
      <c r="B8" s="166">
        <v>45228</v>
      </c>
      <c r="C8" s="165"/>
      <c r="D8" s="165"/>
      <c r="E8" s="167">
        <v>1945</v>
      </c>
      <c r="F8" s="167"/>
      <c r="G8" s="167">
        <f t="shared" si="0"/>
        <v>2150</v>
      </c>
      <c r="H8" s="165" t="s">
        <v>302</v>
      </c>
      <c r="I8" s="168"/>
      <c r="J8" s="165"/>
    </row>
    <row r="9" spans="1:10" ht="75" customHeight="1" x14ac:dyDescent="0.55000000000000004">
      <c r="A9" s="335" t="s">
        <v>113</v>
      </c>
      <c r="B9" s="336">
        <v>45228</v>
      </c>
      <c r="C9" s="335"/>
      <c r="D9" s="335">
        <v>1203</v>
      </c>
      <c r="E9" s="337">
        <v>30000</v>
      </c>
      <c r="F9" s="337"/>
      <c r="G9" s="338">
        <f t="shared" si="0"/>
        <v>32150</v>
      </c>
      <c r="H9" s="338" t="s">
        <v>457</v>
      </c>
      <c r="I9" s="339" t="s">
        <v>458</v>
      </c>
      <c r="J9" s="335"/>
    </row>
    <row r="10" spans="1:10" ht="75" customHeight="1" x14ac:dyDescent="0.55000000000000004">
      <c r="A10" s="165" t="s">
        <v>113</v>
      </c>
      <c r="B10" s="166">
        <v>45228</v>
      </c>
      <c r="C10" s="165"/>
      <c r="D10" s="165">
        <v>1204</v>
      </c>
      <c r="E10" s="167">
        <v>100000</v>
      </c>
      <c r="F10" s="167"/>
      <c r="G10" s="167">
        <f t="shared" si="0"/>
        <v>132150</v>
      </c>
      <c r="H10" s="165" t="s">
        <v>459</v>
      </c>
      <c r="I10" s="168" t="s">
        <v>460</v>
      </c>
      <c r="J10" s="165"/>
    </row>
    <row r="11" spans="1:10" ht="75" customHeight="1" x14ac:dyDescent="0.55000000000000004">
      <c r="A11" s="335" t="s">
        <v>113</v>
      </c>
      <c r="B11" s="336">
        <v>45228</v>
      </c>
      <c r="C11" s="335"/>
      <c r="D11" s="335">
        <v>1205</v>
      </c>
      <c r="E11" s="337">
        <v>55000</v>
      </c>
      <c r="F11" s="337"/>
      <c r="G11" s="338">
        <f t="shared" si="0"/>
        <v>187150</v>
      </c>
      <c r="H11" s="338" t="s">
        <v>238</v>
      </c>
      <c r="I11" s="339" t="s">
        <v>461</v>
      </c>
      <c r="J11" s="335"/>
    </row>
    <row r="12" spans="1:10" ht="75" customHeight="1" x14ac:dyDescent="0.55000000000000004">
      <c r="A12" s="165" t="s">
        <v>113</v>
      </c>
      <c r="B12" s="166">
        <v>45228</v>
      </c>
      <c r="C12" s="165"/>
      <c r="D12" s="165">
        <v>1206</v>
      </c>
      <c r="E12" s="167">
        <v>50000</v>
      </c>
      <c r="F12" s="167"/>
      <c r="G12" s="167">
        <f t="shared" si="0"/>
        <v>237150</v>
      </c>
      <c r="H12" s="165" t="s">
        <v>462</v>
      </c>
      <c r="I12" s="168" t="s">
        <v>463</v>
      </c>
      <c r="J12" s="165"/>
    </row>
    <row r="13" spans="1:10" ht="75" customHeight="1" x14ac:dyDescent="0.55000000000000004">
      <c r="A13" s="335" t="s">
        <v>113</v>
      </c>
      <c r="B13" s="336">
        <v>45228</v>
      </c>
      <c r="C13" s="335"/>
      <c r="D13" s="335">
        <v>1207</v>
      </c>
      <c r="E13" s="337">
        <v>14000</v>
      </c>
      <c r="F13" s="337"/>
      <c r="G13" s="338">
        <f t="shared" si="0"/>
        <v>251150</v>
      </c>
      <c r="H13" s="338" t="s">
        <v>464</v>
      </c>
      <c r="I13" s="339" t="s">
        <v>465</v>
      </c>
      <c r="J13" s="335"/>
    </row>
    <row r="14" spans="1:10" ht="75" customHeight="1" x14ac:dyDescent="0.55000000000000004">
      <c r="A14" s="165" t="s">
        <v>113</v>
      </c>
      <c r="B14" s="166">
        <v>45228</v>
      </c>
      <c r="C14" s="165">
        <v>1693</v>
      </c>
      <c r="D14" s="165"/>
      <c r="E14" s="167"/>
      <c r="F14" s="167">
        <v>1600</v>
      </c>
      <c r="G14" s="167">
        <f t="shared" si="0"/>
        <v>249550</v>
      </c>
      <c r="H14" s="165" t="s">
        <v>226</v>
      </c>
      <c r="I14" s="168" t="s">
        <v>467</v>
      </c>
      <c r="J14" s="165"/>
    </row>
    <row r="15" spans="1:10" ht="75" customHeight="1" x14ac:dyDescent="0.55000000000000004">
      <c r="A15" s="335" t="s">
        <v>113</v>
      </c>
      <c r="B15" s="336">
        <v>45228</v>
      </c>
      <c r="C15" s="335">
        <v>1694</v>
      </c>
      <c r="D15" s="335"/>
      <c r="E15" s="337"/>
      <c r="F15" s="337">
        <v>100000</v>
      </c>
      <c r="G15" s="338">
        <f t="shared" ref="G15:G35" si="1">+G14+E15-F15</f>
        <v>149550</v>
      </c>
      <c r="H15" s="338" t="s">
        <v>235</v>
      </c>
      <c r="I15" s="339" t="s">
        <v>77</v>
      </c>
      <c r="J15" s="335"/>
    </row>
    <row r="16" spans="1:10" ht="75" customHeight="1" x14ac:dyDescent="0.55000000000000004">
      <c r="A16" s="165" t="s">
        <v>113</v>
      </c>
      <c r="B16" s="166">
        <v>45228</v>
      </c>
      <c r="C16" s="165">
        <v>1695</v>
      </c>
      <c r="D16" s="165"/>
      <c r="E16" s="167"/>
      <c r="F16" s="167">
        <v>50000</v>
      </c>
      <c r="G16" s="167">
        <f t="shared" si="1"/>
        <v>99550</v>
      </c>
      <c r="H16" s="165" t="s">
        <v>327</v>
      </c>
      <c r="I16" s="168" t="s">
        <v>468</v>
      </c>
      <c r="J16" s="165"/>
    </row>
    <row r="17" spans="1:10" ht="75" customHeight="1" x14ac:dyDescent="0.55000000000000004">
      <c r="A17" s="335" t="s">
        <v>113</v>
      </c>
      <c r="B17" s="336">
        <v>45228</v>
      </c>
      <c r="C17" s="335">
        <v>1696</v>
      </c>
      <c r="D17" s="335"/>
      <c r="E17" s="337"/>
      <c r="F17" s="337">
        <v>9730</v>
      </c>
      <c r="G17" s="338">
        <f t="shared" si="1"/>
        <v>89820</v>
      </c>
      <c r="H17" s="338" t="s">
        <v>72</v>
      </c>
      <c r="I17" s="339" t="s">
        <v>469</v>
      </c>
      <c r="J17" s="335"/>
    </row>
    <row r="18" spans="1:10" ht="75" customHeight="1" x14ac:dyDescent="0.55000000000000004">
      <c r="A18" s="165" t="s">
        <v>113</v>
      </c>
      <c r="B18" s="166">
        <v>45228</v>
      </c>
      <c r="C18" s="165">
        <v>1697</v>
      </c>
      <c r="D18" s="165"/>
      <c r="E18" s="167"/>
      <c r="F18" s="167">
        <v>15690</v>
      </c>
      <c r="G18" s="167">
        <f t="shared" si="1"/>
        <v>74130</v>
      </c>
      <c r="H18" s="165" t="s">
        <v>470</v>
      </c>
      <c r="I18" s="168" t="s">
        <v>471</v>
      </c>
      <c r="J18" s="165"/>
    </row>
    <row r="19" spans="1:10" ht="75" customHeight="1" x14ac:dyDescent="0.55000000000000004">
      <c r="A19" s="335" t="s">
        <v>113</v>
      </c>
      <c r="B19" s="336">
        <v>45229</v>
      </c>
      <c r="C19" s="335"/>
      <c r="D19" s="335">
        <v>1208</v>
      </c>
      <c r="E19" s="377">
        <v>100000</v>
      </c>
      <c r="F19" s="337"/>
      <c r="G19" s="338">
        <f t="shared" si="1"/>
        <v>174130</v>
      </c>
      <c r="H19" s="338" t="s">
        <v>472</v>
      </c>
      <c r="I19" s="339" t="s">
        <v>473</v>
      </c>
      <c r="J19" s="335"/>
    </row>
    <row r="20" spans="1:10" ht="75" customHeight="1" x14ac:dyDescent="0.55000000000000004">
      <c r="A20" s="165" t="s">
        <v>113</v>
      </c>
      <c r="B20" s="336">
        <v>45229</v>
      </c>
      <c r="C20" s="165"/>
      <c r="D20" s="165">
        <v>1209</v>
      </c>
      <c r="E20" s="377">
        <v>116875</v>
      </c>
      <c r="F20" s="167"/>
      <c r="G20" s="167">
        <f t="shared" si="1"/>
        <v>291005</v>
      </c>
      <c r="H20" s="165" t="s">
        <v>472</v>
      </c>
      <c r="I20" s="168" t="s">
        <v>474</v>
      </c>
      <c r="J20" s="165"/>
    </row>
    <row r="21" spans="1:10" ht="75" customHeight="1" x14ac:dyDescent="0.55000000000000004">
      <c r="A21" s="335" t="s">
        <v>114</v>
      </c>
      <c r="B21" s="336">
        <v>45229</v>
      </c>
      <c r="C21" s="335"/>
      <c r="D21" s="335">
        <v>1210</v>
      </c>
      <c r="E21" s="377">
        <v>515000</v>
      </c>
      <c r="F21" s="337"/>
      <c r="G21" s="338">
        <f t="shared" si="1"/>
        <v>806005</v>
      </c>
      <c r="H21" s="338" t="s">
        <v>475</v>
      </c>
      <c r="I21" s="339" t="s">
        <v>476</v>
      </c>
      <c r="J21" s="335"/>
    </row>
    <row r="22" spans="1:10" ht="75" customHeight="1" x14ac:dyDescent="0.55000000000000004">
      <c r="A22" s="165" t="s">
        <v>114</v>
      </c>
      <c r="B22" s="336">
        <v>45229</v>
      </c>
      <c r="C22" s="165"/>
      <c r="D22" s="165">
        <v>1211</v>
      </c>
      <c r="E22" s="377">
        <v>100000</v>
      </c>
      <c r="F22" s="167"/>
      <c r="G22" s="167">
        <f t="shared" si="1"/>
        <v>906005</v>
      </c>
      <c r="H22" s="165" t="s">
        <v>477</v>
      </c>
      <c r="I22" s="168" t="s">
        <v>478</v>
      </c>
      <c r="J22" s="165"/>
    </row>
    <row r="23" spans="1:10" ht="75" customHeight="1" x14ac:dyDescent="0.55000000000000004">
      <c r="A23" s="335" t="s">
        <v>113</v>
      </c>
      <c r="B23" s="336">
        <v>45229</v>
      </c>
      <c r="C23" s="335">
        <v>1698</v>
      </c>
      <c r="D23" s="335"/>
      <c r="E23" s="337"/>
      <c r="F23" s="337">
        <v>200000</v>
      </c>
      <c r="G23" s="338">
        <f t="shared" si="1"/>
        <v>706005</v>
      </c>
      <c r="H23" s="338" t="s">
        <v>315</v>
      </c>
      <c r="I23" s="339" t="s">
        <v>77</v>
      </c>
      <c r="J23" s="335"/>
    </row>
    <row r="24" spans="1:10" ht="75" customHeight="1" x14ac:dyDescent="0.55000000000000004">
      <c r="A24" s="165" t="s">
        <v>113</v>
      </c>
      <c r="B24" s="336">
        <v>45229</v>
      </c>
      <c r="C24" s="165">
        <v>1699</v>
      </c>
      <c r="D24" s="165"/>
      <c r="E24" s="167"/>
      <c r="F24" s="338">
        <v>159400</v>
      </c>
      <c r="G24" s="167">
        <f t="shared" si="1"/>
        <v>546605</v>
      </c>
      <c r="H24" s="165" t="s">
        <v>113</v>
      </c>
      <c r="I24" s="168" t="s">
        <v>498</v>
      </c>
      <c r="J24" s="165"/>
    </row>
    <row r="25" spans="1:10" ht="75" customHeight="1" x14ac:dyDescent="0.55000000000000004">
      <c r="A25" s="165" t="s">
        <v>113</v>
      </c>
      <c r="B25" s="336">
        <v>45229</v>
      </c>
      <c r="C25" s="335"/>
      <c r="D25" s="335"/>
      <c r="E25" s="377">
        <v>1242</v>
      </c>
      <c r="F25" s="337"/>
      <c r="G25" s="338">
        <f t="shared" si="1"/>
        <v>547847</v>
      </c>
      <c r="H25" s="338" t="s">
        <v>479</v>
      </c>
      <c r="I25" s="339"/>
      <c r="J25" s="335"/>
    </row>
    <row r="26" spans="1:10" ht="75" customHeight="1" x14ac:dyDescent="0.55000000000000004">
      <c r="A26" s="165" t="s">
        <v>113</v>
      </c>
      <c r="B26" s="336">
        <v>45229</v>
      </c>
      <c r="C26" s="165"/>
      <c r="D26" s="165"/>
      <c r="E26" s="377">
        <v>45800</v>
      </c>
      <c r="F26" s="167"/>
      <c r="G26" s="167">
        <f t="shared" si="1"/>
        <v>593647</v>
      </c>
      <c r="H26" s="165" t="s">
        <v>459</v>
      </c>
      <c r="I26" s="168" t="s">
        <v>483</v>
      </c>
      <c r="J26" s="358" t="s">
        <v>484</v>
      </c>
    </row>
    <row r="27" spans="1:10" ht="114" customHeight="1" x14ac:dyDescent="0.55000000000000004">
      <c r="A27" s="165" t="s">
        <v>113</v>
      </c>
      <c r="B27" s="336">
        <v>45229</v>
      </c>
      <c r="C27" s="335">
        <v>1700</v>
      </c>
      <c r="D27" s="335"/>
      <c r="E27" s="337"/>
      <c r="F27" s="337">
        <v>2850</v>
      </c>
      <c r="G27" s="338">
        <f t="shared" si="1"/>
        <v>590797</v>
      </c>
      <c r="H27" s="338" t="s">
        <v>480</v>
      </c>
      <c r="I27" s="339" t="s">
        <v>481</v>
      </c>
      <c r="J27" s="335"/>
    </row>
    <row r="28" spans="1:10" ht="75" customHeight="1" x14ac:dyDescent="0.55000000000000004">
      <c r="A28" s="165" t="s">
        <v>113</v>
      </c>
      <c r="B28" s="336">
        <v>45229</v>
      </c>
      <c r="C28" s="165"/>
      <c r="D28" s="165">
        <v>1212</v>
      </c>
      <c r="E28" s="377">
        <v>13000</v>
      </c>
      <c r="F28" s="167"/>
      <c r="G28" s="167">
        <f t="shared" si="1"/>
        <v>603797</v>
      </c>
      <c r="H28" s="165" t="s">
        <v>54</v>
      </c>
      <c r="I28" s="168" t="s">
        <v>482</v>
      </c>
      <c r="J28" s="165"/>
    </row>
    <row r="29" spans="1:10" ht="75" customHeight="1" x14ac:dyDescent="0.55000000000000004">
      <c r="A29" s="165" t="s">
        <v>113</v>
      </c>
      <c r="B29" s="336">
        <v>45229</v>
      </c>
      <c r="C29" s="335">
        <v>1701</v>
      </c>
      <c r="D29" s="335"/>
      <c r="E29" s="337"/>
      <c r="F29" s="337">
        <v>50000</v>
      </c>
      <c r="G29" s="338">
        <f t="shared" si="1"/>
        <v>553797</v>
      </c>
      <c r="H29" s="338" t="s">
        <v>235</v>
      </c>
      <c r="I29" s="339" t="s">
        <v>77</v>
      </c>
      <c r="J29" s="335"/>
    </row>
    <row r="30" spans="1:10" ht="75" customHeight="1" x14ac:dyDescent="0.55000000000000004">
      <c r="A30" s="165" t="s">
        <v>113</v>
      </c>
      <c r="B30" s="336">
        <v>45229</v>
      </c>
      <c r="C30" s="165"/>
      <c r="D30" s="165"/>
      <c r="E30" s="377">
        <v>10000</v>
      </c>
      <c r="F30" s="167"/>
      <c r="G30" s="167">
        <f t="shared" si="1"/>
        <v>563797</v>
      </c>
      <c r="H30" s="165" t="s">
        <v>438</v>
      </c>
      <c r="I30" s="168"/>
      <c r="J30" s="165"/>
    </row>
    <row r="31" spans="1:10" ht="75" customHeight="1" x14ac:dyDescent="0.55000000000000004">
      <c r="A31" s="165" t="s">
        <v>113</v>
      </c>
      <c r="B31" s="336">
        <v>45229</v>
      </c>
      <c r="C31" s="335">
        <v>1702</v>
      </c>
      <c r="D31" s="335"/>
      <c r="E31" s="337"/>
      <c r="F31" s="337">
        <v>1100</v>
      </c>
      <c r="G31" s="338">
        <f t="shared" si="1"/>
        <v>562697</v>
      </c>
      <c r="H31" s="338" t="s">
        <v>226</v>
      </c>
      <c r="I31" s="339"/>
      <c r="J31" s="335"/>
    </row>
    <row r="32" spans="1:10" ht="75" customHeight="1" x14ac:dyDescent="0.55000000000000004">
      <c r="A32" s="165" t="s">
        <v>113</v>
      </c>
      <c r="B32" s="336">
        <v>45229</v>
      </c>
      <c r="C32" s="165"/>
      <c r="D32" s="165"/>
      <c r="E32" s="377">
        <v>450000</v>
      </c>
      <c r="F32" s="167"/>
      <c r="G32" s="167">
        <f t="shared" si="1"/>
        <v>1012697</v>
      </c>
      <c r="H32" s="165" t="s">
        <v>438</v>
      </c>
      <c r="I32" s="168"/>
      <c r="J32" s="165"/>
    </row>
    <row r="33" spans="1:10" ht="75" customHeight="1" x14ac:dyDescent="0.55000000000000004">
      <c r="A33" s="165" t="s">
        <v>113</v>
      </c>
      <c r="B33" s="336">
        <v>45229</v>
      </c>
      <c r="C33" s="335">
        <v>1703</v>
      </c>
      <c r="D33" s="335"/>
      <c r="E33" s="337"/>
      <c r="F33" s="337">
        <v>35000</v>
      </c>
      <c r="G33" s="338">
        <f t="shared" si="1"/>
        <v>977697</v>
      </c>
      <c r="H33" s="338" t="s">
        <v>485</v>
      </c>
      <c r="I33" s="339" t="s">
        <v>486</v>
      </c>
      <c r="J33" s="335"/>
    </row>
    <row r="34" spans="1:10" ht="75" customHeight="1" x14ac:dyDescent="0.55000000000000004">
      <c r="A34" s="165" t="s">
        <v>113</v>
      </c>
      <c r="B34" s="336">
        <v>45229</v>
      </c>
      <c r="C34" s="165">
        <v>1704</v>
      </c>
      <c r="D34" s="165"/>
      <c r="E34" s="167"/>
      <c r="F34" s="167">
        <v>20000</v>
      </c>
      <c r="G34" s="167">
        <f t="shared" si="1"/>
        <v>957697</v>
      </c>
      <c r="H34" s="338" t="s">
        <v>485</v>
      </c>
      <c r="I34" s="168" t="s">
        <v>487</v>
      </c>
      <c r="J34" s="165"/>
    </row>
    <row r="35" spans="1:10" ht="75" customHeight="1" x14ac:dyDescent="0.55000000000000004">
      <c r="A35" s="335"/>
      <c r="B35" s="336">
        <v>45229</v>
      </c>
      <c r="C35" s="335"/>
      <c r="D35" s="335"/>
      <c r="E35" s="337"/>
      <c r="F35" s="337"/>
      <c r="G35" s="167">
        <f t="shared" si="1"/>
        <v>957697</v>
      </c>
      <c r="H35" s="338"/>
      <c r="I35" s="339"/>
      <c r="J35" s="335"/>
    </row>
    <row r="36" spans="1:10" s="357" customFormat="1" ht="24.75" customHeight="1" thickBot="1" x14ac:dyDescent="0.6">
      <c r="A36" s="571"/>
      <c r="B36" s="571"/>
      <c r="C36" s="571"/>
      <c r="D36" s="571"/>
      <c r="E36" s="571"/>
      <c r="F36" s="571"/>
      <c r="G36" s="571"/>
      <c r="H36" s="571"/>
      <c r="I36" s="571"/>
      <c r="J36" s="571"/>
    </row>
    <row r="37" spans="1:10" ht="117.75" customHeight="1" thickTop="1" x14ac:dyDescent="0.55000000000000004">
      <c r="A37" s="170"/>
      <c r="B37" s="171" t="s">
        <v>127</v>
      </c>
      <c r="C37" s="172" t="s">
        <v>115</v>
      </c>
      <c r="D37" s="172" t="s">
        <v>179</v>
      </c>
      <c r="E37" s="172" t="s">
        <v>116</v>
      </c>
      <c r="F37" s="173" t="s">
        <v>180</v>
      </c>
      <c r="G37" s="174" t="s">
        <v>211</v>
      </c>
      <c r="H37" s="175"/>
      <c r="I37" s="340"/>
      <c r="J37" s="176"/>
    </row>
    <row r="38" spans="1:10" ht="122.25" customHeight="1" thickBot="1" x14ac:dyDescent="0.6">
      <c r="A38" s="161"/>
      <c r="B38" s="177">
        <f>$G$3</f>
        <v>30205</v>
      </c>
      <c r="C38" s="178">
        <f>SUMIF(A4:A35,B1,E4:E$35)</f>
        <v>1387862</v>
      </c>
      <c r="D38" s="178">
        <f>SUMIF(A4:A35,B1,F4:$F$35)</f>
        <v>1075370</v>
      </c>
      <c r="E38" s="178">
        <f>SUMIF(A3:A35,A1,E3:$E$35)</f>
        <v>615000</v>
      </c>
      <c r="F38" s="178">
        <f>SUMIF(A3:A35,A1,F3:$F$35)</f>
        <v>0</v>
      </c>
      <c r="G38" s="179">
        <f>+B38+C38+E38-D38-F38</f>
        <v>957697</v>
      </c>
      <c r="H38" s="164"/>
      <c r="I38" s="180"/>
      <c r="J38" s="180"/>
    </row>
    <row r="39" spans="1:10" ht="102.75" customHeight="1" thickTop="1" x14ac:dyDescent="0.55000000000000004">
      <c r="A39" s="161"/>
      <c r="B39" s="161"/>
      <c r="C39" s="341">
        <f>+B38+C38-D38</f>
        <v>342697</v>
      </c>
      <c r="D39" s="569" t="s">
        <v>181</v>
      </c>
      <c r="E39" s="569"/>
      <c r="F39" s="569"/>
      <c r="G39" s="163"/>
      <c r="H39" s="164"/>
      <c r="I39" s="161"/>
      <c r="J39" s="161"/>
    </row>
    <row r="40" spans="1:10" ht="75" customHeight="1" x14ac:dyDescent="0.55000000000000004">
      <c r="A40" s="161"/>
      <c r="B40" s="161"/>
      <c r="C40" s="342"/>
      <c r="D40" s="570" t="s">
        <v>278</v>
      </c>
      <c r="E40" s="570"/>
      <c r="F40" s="570"/>
      <c r="G40" s="163"/>
      <c r="H40" s="164"/>
      <c r="I40" s="161"/>
      <c r="J40" s="161"/>
    </row>
    <row r="41" spans="1:10" ht="75" customHeight="1" x14ac:dyDescent="0.55000000000000004">
      <c r="A41" s="161"/>
      <c r="B41" s="161"/>
      <c r="C41" s="342"/>
      <c r="D41" s="343" t="s">
        <v>279</v>
      </c>
      <c r="E41" s="343" t="s">
        <v>280</v>
      </c>
      <c r="F41" s="343" t="s">
        <v>281</v>
      </c>
      <c r="G41" s="163"/>
      <c r="H41" s="164"/>
      <c r="I41" s="161"/>
      <c r="J41" s="161"/>
    </row>
    <row r="42" spans="1:10" ht="75" customHeight="1" x14ac:dyDescent="0.55000000000000004">
      <c r="A42" s="161"/>
      <c r="B42" s="161"/>
      <c r="C42" s="161"/>
      <c r="D42" s="344">
        <f>1700-5</f>
        <v>1695</v>
      </c>
      <c r="E42" s="345">
        <v>200</v>
      </c>
      <c r="F42" s="345">
        <f>+E42*D42</f>
        <v>339000</v>
      </c>
      <c r="G42" s="163"/>
      <c r="H42" s="164"/>
      <c r="I42" s="161"/>
      <c r="J42" s="161"/>
    </row>
    <row r="43" spans="1:10" ht="75" customHeight="1" x14ac:dyDescent="0.55000000000000004">
      <c r="A43" s="161"/>
      <c r="B43" s="161"/>
      <c r="C43" s="161"/>
      <c r="D43" s="344"/>
      <c r="E43" s="345">
        <v>100</v>
      </c>
      <c r="F43" s="345">
        <f t="shared" ref="F43:F48" si="2">+E43*D43</f>
        <v>0</v>
      </c>
      <c r="G43" s="163"/>
      <c r="H43" s="164"/>
      <c r="I43" s="163"/>
      <c r="J43" s="161"/>
    </row>
    <row r="44" spans="1:10" ht="75" customHeight="1" x14ac:dyDescent="0.55000000000000004">
      <c r="A44" s="161"/>
      <c r="B44" s="161"/>
      <c r="C44" s="161"/>
      <c r="D44" s="344"/>
      <c r="E44" s="345">
        <v>50</v>
      </c>
      <c r="F44" s="345">
        <f t="shared" si="2"/>
        <v>0</v>
      </c>
      <c r="G44" s="163"/>
      <c r="H44" s="164"/>
      <c r="I44" s="161"/>
      <c r="J44" s="161"/>
    </row>
    <row r="45" spans="1:10" ht="75" customHeight="1" x14ac:dyDescent="0.55000000000000004">
      <c r="A45" s="161"/>
      <c r="B45" s="161"/>
      <c r="C45" s="161"/>
      <c r="D45" s="344">
        <v>150</v>
      </c>
      <c r="E45" s="345">
        <v>20</v>
      </c>
      <c r="F45" s="345">
        <f t="shared" si="2"/>
        <v>3000</v>
      </c>
      <c r="G45" s="163"/>
      <c r="H45" s="164"/>
      <c r="I45" s="161"/>
      <c r="J45" s="161"/>
    </row>
    <row r="46" spans="1:10" ht="75" customHeight="1" x14ac:dyDescent="0.55000000000000004">
      <c r="A46" s="161"/>
      <c r="B46" s="161"/>
      <c r="C46" s="161"/>
      <c r="D46" s="344">
        <v>48</v>
      </c>
      <c r="E46" s="345">
        <v>10</v>
      </c>
      <c r="F46" s="345">
        <f t="shared" si="2"/>
        <v>480</v>
      </c>
      <c r="G46" s="163"/>
      <c r="H46" s="164"/>
      <c r="I46" s="161"/>
      <c r="J46" s="161"/>
    </row>
    <row r="47" spans="1:10" ht="75" customHeight="1" x14ac:dyDescent="0.55000000000000004">
      <c r="A47" s="161"/>
      <c r="B47" s="161"/>
      <c r="C47" s="161"/>
      <c r="D47" s="344">
        <v>41</v>
      </c>
      <c r="E47" s="345">
        <v>5</v>
      </c>
      <c r="F47" s="345">
        <f t="shared" si="2"/>
        <v>205</v>
      </c>
      <c r="G47" s="163"/>
      <c r="H47" s="164"/>
      <c r="I47" s="161"/>
      <c r="J47" s="161"/>
    </row>
    <row r="48" spans="1:10" ht="75" customHeight="1" thickBot="1" x14ac:dyDescent="0.6">
      <c r="A48" s="161"/>
      <c r="B48" s="161"/>
      <c r="C48" s="161"/>
      <c r="D48" s="346">
        <v>27</v>
      </c>
      <c r="E48" s="347">
        <v>1</v>
      </c>
      <c r="F48" s="347">
        <f t="shared" si="2"/>
        <v>27</v>
      </c>
      <c r="G48" s="163"/>
      <c r="H48" s="164"/>
      <c r="I48" s="161"/>
      <c r="J48" s="161"/>
    </row>
    <row r="49" spans="1:10" ht="75" customHeight="1" x14ac:dyDescent="0.55000000000000004">
      <c r="A49" s="161"/>
      <c r="B49" s="161"/>
      <c r="C49" s="161"/>
      <c r="D49" s="348"/>
      <c r="E49" s="349" t="s">
        <v>283</v>
      </c>
      <c r="F49" s="350">
        <f>SUM(F42:F48)</f>
        <v>342712</v>
      </c>
      <c r="G49" s="163"/>
      <c r="H49" s="164"/>
      <c r="I49" s="161"/>
      <c r="J49" s="161"/>
    </row>
    <row r="50" spans="1:10" ht="75" customHeight="1" x14ac:dyDescent="0.55000000000000004">
      <c r="A50" s="161"/>
      <c r="B50" s="161"/>
      <c r="C50" s="161"/>
      <c r="D50" s="351"/>
      <c r="E50" s="352" t="s">
        <v>282</v>
      </c>
      <c r="F50" s="353">
        <f>C39</f>
        <v>342697</v>
      </c>
      <c r="G50" s="163"/>
      <c r="H50" s="164"/>
      <c r="I50" s="161"/>
      <c r="J50" s="161"/>
    </row>
    <row r="51" spans="1:10" ht="75" customHeight="1" thickBot="1" x14ac:dyDescent="0.6">
      <c r="A51" s="161"/>
      <c r="B51" s="161"/>
      <c r="C51" s="161"/>
      <c r="D51" s="354"/>
      <c r="E51" s="355" t="s">
        <v>284</v>
      </c>
      <c r="F51" s="356">
        <f>+F49-F50</f>
        <v>15</v>
      </c>
      <c r="G51" s="163"/>
      <c r="H51" s="164"/>
      <c r="I51" s="161"/>
      <c r="J51" s="161"/>
    </row>
  </sheetData>
  <mergeCells count="3">
    <mergeCell ref="D39:F39"/>
    <mergeCell ref="D40:F40"/>
    <mergeCell ref="A36:J36"/>
  </mergeCells>
  <conditionalFormatting sqref="A1">
    <cfRule type="cellIs" dxfId="121" priority="5" operator="equal">
      <formula>#REF!</formula>
    </cfRule>
  </conditionalFormatting>
  <conditionalFormatting sqref="A2:A5 A8:A51">
    <cfRule type="cellIs" dxfId="120" priority="7" operator="equal">
      <formula>#REF!</formula>
    </cfRule>
  </conditionalFormatting>
  <conditionalFormatting sqref="A6:A7">
    <cfRule type="cellIs" dxfId="119" priority="2" operator="equal">
      <formula>#REF!</formula>
    </cfRule>
  </conditionalFormatting>
  <conditionalFormatting sqref="B1">
    <cfRule type="cellIs" dxfId="118" priority="4" operator="equal">
      <formula>#REF!</formula>
    </cfRule>
  </conditionalFormatting>
  <conditionalFormatting sqref="C2:D2">
    <cfRule type="duplicateValues" dxfId="117" priority="6"/>
  </conditionalFormatting>
  <printOptions horizontalCentered="1" verticalCentered="1"/>
  <pageMargins left="0" right="0" top="0" bottom="0" header="0" footer="0"/>
  <pageSetup paperSize="9" scale="14" orientation="landscape" blackAndWhite="1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J40"/>
  <sheetViews>
    <sheetView rightToLeft="1" view="pageBreakPreview" zoomScale="25" zoomScaleNormal="10" zoomScaleSheetLayoutView="25" workbookViewId="0">
      <pane ySplit="2" topLeftCell="A21" activePane="bottomLeft" state="frozen"/>
      <selection activeCell="I43" sqref="I43:I44"/>
      <selection pane="bottomLeft" activeCell="C28" sqref="C28"/>
    </sheetView>
  </sheetViews>
  <sheetFormatPr defaultColWidth="42.85546875" defaultRowHeight="75" customHeight="1" x14ac:dyDescent="0.55000000000000004"/>
  <cols>
    <col min="1" max="1" width="29.42578125" style="334" customWidth="1"/>
    <col min="2" max="2" width="51" style="334" customWidth="1"/>
    <col min="3" max="3" width="41.7109375" style="334" bestFit="1" customWidth="1"/>
    <col min="4" max="4" width="56" style="334" bestFit="1" customWidth="1"/>
    <col min="5" max="5" width="50.28515625" style="334" customWidth="1"/>
    <col min="6" max="7" width="56.140625" style="334" bestFit="1" customWidth="1"/>
    <col min="8" max="8" width="55.7109375" style="334" customWidth="1"/>
    <col min="9" max="9" width="156" style="334" bestFit="1" customWidth="1"/>
    <col min="10" max="10" width="65.42578125" style="334" customWidth="1"/>
    <col min="11" max="16384" width="42.85546875" style="334"/>
  </cols>
  <sheetData>
    <row r="1" spans="1:10" ht="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ht="75" customHeight="1" thickBot="1" x14ac:dyDescent="0.6">
      <c r="A2" s="361" t="s">
        <v>132</v>
      </c>
      <c r="B2" s="362" t="s">
        <v>1</v>
      </c>
      <c r="C2" s="363" t="s">
        <v>86</v>
      </c>
      <c r="D2" s="363" t="s">
        <v>163</v>
      </c>
      <c r="E2" s="364" t="s">
        <v>2</v>
      </c>
      <c r="F2" s="364" t="s">
        <v>3</v>
      </c>
      <c r="G2" s="364" t="s">
        <v>4</v>
      </c>
      <c r="H2" s="363" t="s">
        <v>92</v>
      </c>
      <c r="I2" s="363" t="s">
        <v>6</v>
      </c>
      <c r="J2" s="363" t="s">
        <v>7</v>
      </c>
    </row>
    <row r="3" spans="1:10" ht="75" customHeight="1" x14ac:dyDescent="0.55000000000000004">
      <c r="A3" s="181"/>
      <c r="B3" s="200"/>
      <c r="C3" s="181"/>
      <c r="D3" s="181"/>
      <c r="E3" s="183"/>
      <c r="F3" s="183"/>
      <c r="G3" s="201">
        <v>342697</v>
      </c>
      <c r="H3" s="201" t="s">
        <v>129</v>
      </c>
      <c r="I3" s="181"/>
      <c r="J3" s="181"/>
    </row>
    <row r="4" spans="1:10" ht="75" customHeight="1" x14ac:dyDescent="0.55000000000000004">
      <c r="A4" s="359" t="s">
        <v>113</v>
      </c>
      <c r="B4" s="365">
        <v>45230</v>
      </c>
      <c r="C4" s="359"/>
      <c r="D4" s="359"/>
      <c r="E4" s="366">
        <v>232000</v>
      </c>
      <c r="F4" s="366"/>
      <c r="G4" s="366">
        <f>G3+E4-F4</f>
        <v>574697</v>
      </c>
      <c r="H4" s="359" t="s">
        <v>488</v>
      </c>
      <c r="I4" s="359" t="s">
        <v>489</v>
      </c>
      <c r="J4" s="359"/>
    </row>
    <row r="5" spans="1:10" ht="75" customHeight="1" x14ac:dyDescent="0.55000000000000004">
      <c r="A5" s="360" t="s">
        <v>113</v>
      </c>
      <c r="B5" s="365">
        <v>45230</v>
      </c>
      <c r="C5" s="360"/>
      <c r="D5" s="360"/>
      <c r="E5" s="369">
        <v>1986</v>
      </c>
      <c r="F5" s="368"/>
      <c r="G5" s="369">
        <f t="shared" ref="G5:G17" si="0">G4+E5-F5</f>
        <v>576683</v>
      </c>
      <c r="H5" s="369" t="s">
        <v>505</v>
      </c>
      <c r="I5" s="360"/>
      <c r="J5" s="360"/>
    </row>
    <row r="6" spans="1:10" ht="75" customHeight="1" x14ac:dyDescent="0.55000000000000004">
      <c r="A6" s="359" t="s">
        <v>113</v>
      </c>
      <c r="B6" s="365">
        <v>45230</v>
      </c>
      <c r="C6" s="359">
        <v>1705</v>
      </c>
      <c r="D6" s="359"/>
      <c r="E6" s="366"/>
      <c r="F6" s="366">
        <v>50000</v>
      </c>
      <c r="G6" s="366">
        <f t="shared" si="0"/>
        <v>526683</v>
      </c>
      <c r="H6" s="359" t="s">
        <v>490</v>
      </c>
      <c r="I6" s="359" t="s">
        <v>491</v>
      </c>
      <c r="J6" s="359"/>
    </row>
    <row r="7" spans="1:10" ht="75" customHeight="1" x14ac:dyDescent="0.55000000000000004">
      <c r="A7" s="360" t="s">
        <v>113</v>
      </c>
      <c r="B7" s="365">
        <v>45230</v>
      </c>
      <c r="C7" s="360">
        <v>1706</v>
      </c>
      <c r="D7" s="360"/>
      <c r="E7" s="369"/>
      <c r="F7" s="368">
        <v>10000</v>
      </c>
      <c r="G7" s="369">
        <f t="shared" si="0"/>
        <v>516683</v>
      </c>
      <c r="H7" s="369" t="s">
        <v>490</v>
      </c>
      <c r="I7" s="360" t="s">
        <v>491</v>
      </c>
      <c r="J7" s="360"/>
    </row>
    <row r="8" spans="1:10" ht="75" customHeight="1" x14ac:dyDescent="0.55000000000000004">
      <c r="A8" s="359" t="s">
        <v>113</v>
      </c>
      <c r="B8" s="365">
        <v>45230</v>
      </c>
      <c r="C8" s="359">
        <v>1707</v>
      </c>
      <c r="D8" s="359"/>
      <c r="E8" s="366"/>
      <c r="F8" s="366">
        <v>550</v>
      </c>
      <c r="G8" s="366">
        <f t="shared" si="0"/>
        <v>516133</v>
      </c>
      <c r="H8" s="359" t="s">
        <v>226</v>
      </c>
      <c r="I8" s="359" t="s">
        <v>492</v>
      </c>
      <c r="J8" s="359"/>
    </row>
    <row r="9" spans="1:10" ht="75" customHeight="1" x14ac:dyDescent="0.55000000000000004">
      <c r="A9" s="360" t="s">
        <v>113</v>
      </c>
      <c r="B9" s="365">
        <v>45230</v>
      </c>
      <c r="C9" s="360">
        <v>1708</v>
      </c>
      <c r="D9" s="360"/>
      <c r="E9" s="369"/>
      <c r="F9" s="368">
        <v>3000</v>
      </c>
      <c r="G9" s="369">
        <f t="shared" si="0"/>
        <v>513133</v>
      </c>
      <c r="H9" s="369" t="s">
        <v>490</v>
      </c>
      <c r="I9" s="360" t="s">
        <v>493</v>
      </c>
      <c r="J9" s="360"/>
    </row>
    <row r="10" spans="1:10" ht="75" customHeight="1" x14ac:dyDescent="0.55000000000000004">
      <c r="A10" s="359" t="s">
        <v>113</v>
      </c>
      <c r="B10" s="365">
        <v>45230</v>
      </c>
      <c r="C10" s="359">
        <v>1709</v>
      </c>
      <c r="D10" s="359"/>
      <c r="E10" s="366"/>
      <c r="F10" s="366">
        <v>3000</v>
      </c>
      <c r="G10" s="366">
        <f t="shared" si="0"/>
        <v>510133</v>
      </c>
      <c r="H10" s="359" t="s">
        <v>414</v>
      </c>
      <c r="I10" s="359" t="s">
        <v>316</v>
      </c>
      <c r="J10" s="359"/>
    </row>
    <row r="11" spans="1:10" ht="75" customHeight="1" x14ac:dyDescent="0.55000000000000004">
      <c r="A11" s="360" t="s">
        <v>113</v>
      </c>
      <c r="B11" s="365">
        <v>45230</v>
      </c>
      <c r="C11" s="360"/>
      <c r="D11" s="360"/>
      <c r="E11" s="369"/>
      <c r="F11" s="368"/>
      <c r="G11" s="369">
        <f t="shared" si="0"/>
        <v>510133</v>
      </c>
      <c r="H11" s="369" t="s">
        <v>496</v>
      </c>
      <c r="I11" s="360"/>
      <c r="J11" s="360"/>
    </row>
    <row r="12" spans="1:10" ht="75" customHeight="1" x14ac:dyDescent="0.55000000000000004">
      <c r="A12" s="359" t="s">
        <v>113</v>
      </c>
      <c r="B12" s="365">
        <v>45230</v>
      </c>
      <c r="C12" s="359"/>
      <c r="D12" s="359"/>
      <c r="E12" s="366">
        <v>3290</v>
      </c>
      <c r="F12" s="366"/>
      <c r="G12" s="366">
        <f t="shared" si="0"/>
        <v>513423</v>
      </c>
      <c r="H12" s="359" t="s">
        <v>494</v>
      </c>
      <c r="I12" s="359" t="s">
        <v>495</v>
      </c>
      <c r="J12" s="359"/>
    </row>
    <row r="13" spans="1:10" ht="75" customHeight="1" x14ac:dyDescent="0.55000000000000004">
      <c r="A13" s="360" t="s">
        <v>113</v>
      </c>
      <c r="B13" s="365">
        <v>45230</v>
      </c>
      <c r="C13" s="360">
        <v>1710</v>
      </c>
      <c r="D13" s="360"/>
      <c r="E13" s="369"/>
      <c r="F13" s="368">
        <v>26810</v>
      </c>
      <c r="G13" s="369">
        <f t="shared" si="0"/>
        <v>486613</v>
      </c>
      <c r="H13" s="369" t="s">
        <v>152</v>
      </c>
      <c r="I13" s="360" t="s">
        <v>497</v>
      </c>
      <c r="J13" s="360"/>
    </row>
    <row r="14" spans="1:10" ht="75" customHeight="1" x14ac:dyDescent="0.55000000000000004">
      <c r="A14" s="359" t="s">
        <v>113</v>
      </c>
      <c r="B14" s="365">
        <v>45230</v>
      </c>
      <c r="C14" s="359"/>
      <c r="D14" s="359"/>
      <c r="E14" s="366">
        <v>3500000</v>
      </c>
      <c r="F14" s="366"/>
      <c r="G14" s="366">
        <f t="shared" si="0"/>
        <v>3986613</v>
      </c>
      <c r="H14" s="359" t="s">
        <v>438</v>
      </c>
      <c r="I14" s="359"/>
      <c r="J14" s="359"/>
    </row>
    <row r="15" spans="1:10" ht="75" customHeight="1" x14ac:dyDescent="0.55000000000000004">
      <c r="A15" s="360" t="s">
        <v>113</v>
      </c>
      <c r="B15" s="365">
        <v>45230</v>
      </c>
      <c r="C15" s="360">
        <v>1711</v>
      </c>
      <c r="D15" s="360"/>
      <c r="E15" s="369"/>
      <c r="F15" s="368">
        <v>3500000</v>
      </c>
      <c r="G15" s="369">
        <f t="shared" si="0"/>
        <v>486613</v>
      </c>
      <c r="H15" s="369" t="s">
        <v>500</v>
      </c>
      <c r="I15" s="360" t="s">
        <v>501</v>
      </c>
      <c r="J15" s="360"/>
    </row>
    <row r="16" spans="1:10" ht="75" customHeight="1" x14ac:dyDescent="0.55000000000000004">
      <c r="A16" s="359" t="s">
        <v>113</v>
      </c>
      <c r="B16" s="365">
        <v>45230</v>
      </c>
      <c r="C16" s="359">
        <v>1712</v>
      </c>
      <c r="D16" s="359"/>
      <c r="E16" s="366"/>
      <c r="F16" s="366">
        <v>75000</v>
      </c>
      <c r="G16" s="366">
        <f t="shared" si="0"/>
        <v>411613</v>
      </c>
      <c r="H16" s="359" t="s">
        <v>499</v>
      </c>
      <c r="I16" s="359" t="s">
        <v>293</v>
      </c>
      <c r="J16" s="359"/>
    </row>
    <row r="17" spans="1:10" ht="75" customHeight="1" x14ac:dyDescent="0.55000000000000004">
      <c r="A17" s="359" t="s">
        <v>113</v>
      </c>
      <c r="B17" s="365">
        <v>45230</v>
      </c>
      <c r="C17" s="360"/>
      <c r="D17" s="360"/>
      <c r="E17" s="369">
        <v>2459</v>
      </c>
      <c r="F17" s="368"/>
      <c r="G17" s="366">
        <f t="shared" si="0"/>
        <v>414072</v>
      </c>
      <c r="H17" s="369" t="s">
        <v>683</v>
      </c>
      <c r="I17" s="360"/>
      <c r="J17" s="360"/>
    </row>
    <row r="18" spans="1:10" ht="75" customHeight="1" x14ac:dyDescent="0.55000000000000004">
      <c r="A18" s="359"/>
      <c r="B18" s="365"/>
      <c r="C18" s="359"/>
      <c r="D18" s="359"/>
      <c r="E18" s="366"/>
      <c r="F18" s="366"/>
      <c r="G18" s="366"/>
      <c r="H18" s="359"/>
      <c r="I18" s="359"/>
      <c r="J18" s="359"/>
    </row>
    <row r="19" spans="1:10" ht="75" customHeight="1" x14ac:dyDescent="0.55000000000000004">
      <c r="A19" s="360"/>
      <c r="B19" s="367"/>
      <c r="C19" s="360"/>
      <c r="D19" s="360"/>
      <c r="E19" s="369"/>
      <c r="F19" s="368"/>
      <c r="G19" s="369"/>
      <c r="H19" s="369"/>
      <c r="I19" s="360"/>
      <c r="J19" s="360"/>
    </row>
    <row r="20" spans="1:10" ht="75" customHeight="1" x14ac:dyDescent="0.55000000000000004">
      <c r="A20" s="359"/>
      <c r="B20" s="365"/>
      <c r="C20" s="359"/>
      <c r="D20" s="359"/>
      <c r="E20" s="366"/>
      <c r="F20" s="366"/>
      <c r="G20" s="366"/>
      <c r="H20" s="359"/>
      <c r="I20" s="359"/>
      <c r="J20" s="359"/>
    </row>
    <row r="21" spans="1:10" ht="75" customHeight="1" x14ac:dyDescent="0.55000000000000004">
      <c r="A21" s="360"/>
      <c r="B21" s="367"/>
      <c r="C21" s="360"/>
      <c r="D21" s="360"/>
      <c r="E21" s="369"/>
      <c r="F21" s="368"/>
      <c r="G21" s="369"/>
      <c r="H21" s="369"/>
      <c r="I21" s="360"/>
      <c r="J21" s="360"/>
    </row>
    <row r="22" spans="1:10" ht="75" customHeight="1" x14ac:dyDescent="0.55000000000000004">
      <c r="A22" s="359"/>
      <c r="B22" s="365"/>
      <c r="C22" s="359"/>
      <c r="D22" s="359"/>
      <c r="E22" s="366"/>
      <c r="F22" s="366"/>
      <c r="G22" s="366">
        <f t="shared" ref="G22:G24" si="1">+G21+E22-F22</f>
        <v>0</v>
      </c>
      <c r="H22" s="369"/>
      <c r="I22" s="213"/>
      <c r="J22" s="359"/>
    </row>
    <row r="23" spans="1:10" ht="75" customHeight="1" x14ac:dyDescent="0.55000000000000004">
      <c r="A23" s="359"/>
      <c r="B23" s="365"/>
      <c r="C23" s="359"/>
      <c r="D23" s="359"/>
      <c r="E23" s="366"/>
      <c r="F23" s="366"/>
      <c r="G23" s="366">
        <f t="shared" si="1"/>
        <v>0</v>
      </c>
      <c r="H23" s="359"/>
      <c r="I23" s="213"/>
      <c r="J23" s="359"/>
    </row>
    <row r="24" spans="1:10" ht="75" customHeight="1" x14ac:dyDescent="0.55000000000000004">
      <c r="A24" s="360"/>
      <c r="B24" s="367"/>
      <c r="C24" s="360"/>
      <c r="D24" s="360"/>
      <c r="E24" s="368"/>
      <c r="F24" s="368"/>
      <c r="G24" s="366">
        <f t="shared" si="1"/>
        <v>0</v>
      </c>
      <c r="H24" s="369"/>
      <c r="I24" s="370"/>
      <c r="J24" s="360"/>
    </row>
    <row r="25" spans="1:10" s="357" customFormat="1" ht="24.75" customHeight="1" thickBot="1" x14ac:dyDescent="0.6">
      <c r="A25" s="571"/>
      <c r="B25" s="571"/>
      <c r="C25" s="571"/>
      <c r="D25" s="571"/>
      <c r="E25" s="571"/>
      <c r="F25" s="571"/>
      <c r="G25" s="571"/>
      <c r="H25" s="571"/>
      <c r="I25" s="571"/>
      <c r="J25" s="571"/>
    </row>
    <row r="26" spans="1:10" ht="117.75" customHeight="1" thickTop="1" x14ac:dyDescent="0.55000000000000004">
      <c r="A26" s="170"/>
      <c r="B26" s="171" t="s">
        <v>127</v>
      </c>
      <c r="C26" s="172" t="s">
        <v>115</v>
      </c>
      <c r="D26" s="172" t="s">
        <v>179</v>
      </c>
      <c r="E26" s="172" t="s">
        <v>116</v>
      </c>
      <c r="F26" s="173" t="s">
        <v>180</v>
      </c>
      <c r="G26" s="174" t="s">
        <v>211</v>
      </c>
      <c r="H26" s="175"/>
      <c r="I26" s="340"/>
      <c r="J26" s="176"/>
    </row>
    <row r="27" spans="1:10" ht="122.25" customHeight="1" thickBot="1" x14ac:dyDescent="0.6">
      <c r="A27" s="161"/>
      <c r="B27" s="177">
        <f>$G$3</f>
        <v>342697</v>
      </c>
      <c r="C27" s="178">
        <f>SUMIF(A4:A24,B1,E4:E$24)</f>
        <v>3739735</v>
      </c>
      <c r="D27" s="178">
        <f>SUMIF(A4:A24,B1,F4:$F$24)</f>
        <v>3668360</v>
      </c>
      <c r="E27" s="178">
        <f>SUMIF(A3:A24,A1,E3:$E$24)</f>
        <v>0</v>
      </c>
      <c r="F27" s="178">
        <f>SUMIF(A3:A24,A1,F3:$F$24)</f>
        <v>0</v>
      </c>
      <c r="G27" s="179">
        <f>+B27+C27+E27-D27-F27</f>
        <v>414072</v>
      </c>
      <c r="H27" s="164"/>
      <c r="I27" s="180"/>
      <c r="J27" s="180"/>
    </row>
    <row r="28" spans="1:10" ht="102.75" customHeight="1" thickTop="1" x14ac:dyDescent="0.55000000000000004">
      <c r="A28" s="161"/>
      <c r="B28" s="161"/>
      <c r="C28" s="341">
        <f>+B27+C27-D27</f>
        <v>414072</v>
      </c>
      <c r="D28" s="569" t="s">
        <v>181</v>
      </c>
      <c r="E28" s="569"/>
      <c r="F28" s="569"/>
      <c r="G28" s="163"/>
      <c r="H28" s="164"/>
      <c r="I28" s="161"/>
      <c r="J28" s="161"/>
    </row>
    <row r="29" spans="1:10" ht="75" customHeight="1" x14ac:dyDescent="0.55000000000000004">
      <c r="A29" s="161"/>
      <c r="B29" s="161"/>
      <c r="C29" s="342"/>
      <c r="D29" s="570" t="s">
        <v>278</v>
      </c>
      <c r="E29" s="570"/>
      <c r="F29" s="570"/>
      <c r="G29" s="163"/>
      <c r="H29" s="164"/>
      <c r="I29" s="161"/>
      <c r="J29" s="161"/>
    </row>
    <row r="30" spans="1:10" ht="75" customHeight="1" x14ac:dyDescent="0.55000000000000004">
      <c r="A30" s="161"/>
      <c r="B30" s="161"/>
      <c r="C30" s="342"/>
      <c r="D30" s="343" t="s">
        <v>279</v>
      </c>
      <c r="E30" s="343" t="s">
        <v>280</v>
      </c>
      <c r="F30" s="343" t="s">
        <v>281</v>
      </c>
      <c r="G30" s="163"/>
      <c r="H30" s="164"/>
      <c r="I30" s="161"/>
      <c r="J30" s="161"/>
    </row>
    <row r="31" spans="1:10" ht="75" customHeight="1" x14ac:dyDescent="0.55000000000000004">
      <c r="A31" s="161"/>
      <c r="B31" s="161"/>
      <c r="C31" s="161"/>
      <c r="D31" s="344">
        <f>400+41+15</f>
        <v>456</v>
      </c>
      <c r="E31" s="345">
        <v>200</v>
      </c>
      <c r="F31" s="345">
        <f>+E31*D31</f>
        <v>91200</v>
      </c>
      <c r="G31" s="163"/>
      <c r="H31" s="164"/>
      <c r="I31" s="161"/>
      <c r="J31" s="161"/>
    </row>
    <row r="32" spans="1:10" ht="75" customHeight="1" x14ac:dyDescent="0.55000000000000004">
      <c r="A32" s="161"/>
      <c r="B32" s="161"/>
      <c r="C32" s="161"/>
      <c r="D32" s="344">
        <f>1900+85</f>
        <v>1985</v>
      </c>
      <c r="E32" s="345">
        <v>100</v>
      </c>
      <c r="F32" s="345">
        <f t="shared" ref="F32:F37" si="2">+E32*D32</f>
        <v>198500</v>
      </c>
      <c r="G32" s="163"/>
      <c r="H32" s="164"/>
      <c r="I32" s="163"/>
      <c r="J32" s="161"/>
    </row>
    <row r="33" spans="1:10" ht="75" customHeight="1" x14ac:dyDescent="0.55000000000000004">
      <c r="A33" s="161"/>
      <c r="B33" s="161"/>
      <c r="C33" s="161"/>
      <c r="D33" s="344">
        <v>360</v>
      </c>
      <c r="E33" s="345">
        <v>50</v>
      </c>
      <c r="F33" s="345">
        <f t="shared" si="2"/>
        <v>18000</v>
      </c>
      <c r="G33" s="163"/>
      <c r="H33" s="164"/>
      <c r="I33" s="161"/>
      <c r="J33" s="161"/>
    </row>
    <row r="34" spans="1:10" ht="75" customHeight="1" x14ac:dyDescent="0.55000000000000004">
      <c r="A34" s="161"/>
      <c r="B34" s="161"/>
      <c r="C34" s="161"/>
      <c r="D34" s="344">
        <v>144</v>
      </c>
      <c r="E34" s="345">
        <v>20</v>
      </c>
      <c r="F34" s="345">
        <f t="shared" si="2"/>
        <v>2880</v>
      </c>
      <c r="G34" s="163"/>
      <c r="H34" s="164"/>
      <c r="I34" s="161"/>
      <c r="J34" s="161"/>
    </row>
    <row r="35" spans="1:10" ht="75" customHeight="1" x14ac:dyDescent="0.55000000000000004">
      <c r="A35" s="161"/>
      <c r="B35" s="161"/>
      <c r="C35" s="161"/>
      <c r="D35" s="344">
        <v>29</v>
      </c>
      <c r="E35" s="345">
        <v>10</v>
      </c>
      <c r="F35" s="345">
        <f t="shared" si="2"/>
        <v>290</v>
      </c>
      <c r="G35" s="163"/>
      <c r="H35" s="164"/>
      <c r="I35" s="161"/>
      <c r="J35" s="161"/>
    </row>
    <row r="36" spans="1:10" ht="75" customHeight="1" x14ac:dyDescent="0.55000000000000004">
      <c r="A36" s="161"/>
      <c r="B36" s="161"/>
      <c r="C36" s="161"/>
      <c r="D36" s="344">
        <v>3</v>
      </c>
      <c r="E36" s="345">
        <v>5</v>
      </c>
      <c r="F36" s="345">
        <f t="shared" si="2"/>
        <v>15</v>
      </c>
      <c r="G36" s="163"/>
      <c r="H36" s="164"/>
      <c r="I36" s="161"/>
      <c r="J36" s="161"/>
    </row>
    <row r="37" spans="1:10" ht="75" customHeight="1" thickBot="1" x14ac:dyDescent="0.6">
      <c r="A37" s="161"/>
      <c r="B37" s="161"/>
      <c r="C37" s="161"/>
      <c r="D37" s="346">
        <v>18</v>
      </c>
      <c r="E37" s="347">
        <v>1</v>
      </c>
      <c r="F37" s="347">
        <f t="shared" si="2"/>
        <v>18</v>
      </c>
      <c r="G37" s="163"/>
      <c r="H37" s="164"/>
      <c r="I37" s="161"/>
      <c r="J37" s="161"/>
    </row>
    <row r="38" spans="1:10" ht="75" customHeight="1" x14ac:dyDescent="0.55000000000000004">
      <c r="A38" s="161"/>
      <c r="B38" s="161"/>
      <c r="C38" s="161"/>
      <c r="D38" s="348"/>
      <c r="E38" s="349" t="s">
        <v>283</v>
      </c>
      <c r="F38" s="350">
        <f>SUM(F31:F37)</f>
        <v>310903</v>
      </c>
      <c r="G38" s="163"/>
      <c r="H38" s="164"/>
      <c r="I38" s="161"/>
      <c r="J38" s="161"/>
    </row>
    <row r="39" spans="1:10" ht="75" customHeight="1" x14ac:dyDescent="0.55000000000000004">
      <c r="A39" s="161"/>
      <c r="B39" s="161"/>
      <c r="C39" s="161"/>
      <c r="D39" s="351"/>
      <c r="E39" s="352" t="s">
        <v>282</v>
      </c>
      <c r="F39" s="353">
        <f>C28</f>
        <v>414072</v>
      </c>
      <c r="G39" s="163"/>
      <c r="H39" s="164"/>
      <c r="I39" s="161"/>
      <c r="J39" s="161"/>
    </row>
    <row r="40" spans="1:10" ht="75" customHeight="1" thickBot="1" x14ac:dyDescent="0.6">
      <c r="A40" s="161"/>
      <c r="B40" s="161"/>
      <c r="C40" s="161"/>
      <c r="D40" s="354"/>
      <c r="E40" s="355" t="s">
        <v>284</v>
      </c>
      <c r="F40" s="356">
        <f>+F38-F39</f>
        <v>-103169</v>
      </c>
      <c r="G40" s="163"/>
      <c r="H40" s="164"/>
      <c r="I40" s="161"/>
      <c r="J40" s="161"/>
    </row>
  </sheetData>
  <mergeCells count="3">
    <mergeCell ref="A25:J25"/>
    <mergeCell ref="D28:F28"/>
    <mergeCell ref="D29:F29"/>
  </mergeCells>
  <conditionalFormatting sqref="A1">
    <cfRule type="cellIs" dxfId="116" priority="5" operator="equal">
      <formula>#REF!</formula>
    </cfRule>
  </conditionalFormatting>
  <conditionalFormatting sqref="A2:A5 A22:A40">
    <cfRule type="cellIs" dxfId="115" priority="7" operator="equal">
      <formula>#REF!</formula>
    </cfRule>
  </conditionalFormatting>
  <conditionalFormatting sqref="A6:A21">
    <cfRule type="cellIs" dxfId="114" priority="1" operator="equal">
      <formula>#REF!</formula>
    </cfRule>
  </conditionalFormatting>
  <conditionalFormatting sqref="B1">
    <cfRule type="cellIs" dxfId="113" priority="4" operator="equal">
      <formula>#REF!</formula>
    </cfRule>
  </conditionalFormatting>
  <conditionalFormatting sqref="C2:D2">
    <cfRule type="duplicateValues" dxfId="112" priority="6"/>
  </conditionalFormatting>
  <printOptions horizontalCentered="1" verticalCentered="1"/>
  <pageMargins left="0" right="0" top="0" bottom="0" header="0" footer="0"/>
  <pageSetup paperSize="9" scale="19" orientation="landscape" blackAndWhite="1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J45"/>
  <sheetViews>
    <sheetView rightToLeft="1" view="pageBreakPreview" topLeftCell="B1" zoomScale="25" zoomScaleNormal="10" zoomScaleSheetLayoutView="25" workbookViewId="0">
      <pane ySplit="2" topLeftCell="A3" activePane="bottomLeft" state="frozen"/>
      <selection activeCell="I43" sqref="I43:I44"/>
      <selection pane="bottomLeft" activeCell="B1" sqref="A1:XFD1048576"/>
    </sheetView>
  </sheetViews>
  <sheetFormatPr defaultColWidth="42.85546875" defaultRowHeight="75" customHeight="1" x14ac:dyDescent="0.55000000000000004"/>
  <cols>
    <col min="1" max="1" width="50" style="334" customWidth="1"/>
    <col min="2" max="2" width="50.140625" style="334" bestFit="1" customWidth="1"/>
    <col min="3" max="4" width="56.140625" style="334" bestFit="1" customWidth="1"/>
    <col min="5" max="5" width="50.28515625" style="334" customWidth="1"/>
    <col min="6" max="7" width="56.28515625" style="334" bestFit="1" customWidth="1"/>
    <col min="8" max="8" width="73.7109375" style="334" customWidth="1"/>
    <col min="9" max="9" width="194.5703125" style="334" bestFit="1" customWidth="1"/>
    <col min="10" max="10" width="65.42578125" style="334" customWidth="1"/>
    <col min="11" max="16384" width="42.85546875" style="334"/>
  </cols>
  <sheetData>
    <row r="1" spans="1:10" ht="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376" customFormat="1" ht="186" customHeight="1" thickBot="1" x14ac:dyDescent="1.1000000000000001">
      <c r="A2" s="372" t="s">
        <v>132</v>
      </c>
      <c r="B2" s="373" t="s">
        <v>1</v>
      </c>
      <c r="C2" s="374" t="s">
        <v>86</v>
      </c>
      <c r="D2" s="374" t="s">
        <v>163</v>
      </c>
      <c r="E2" s="375" t="s">
        <v>2</v>
      </c>
      <c r="F2" s="375" t="s">
        <v>3</v>
      </c>
      <c r="G2" s="375" t="s">
        <v>4</v>
      </c>
      <c r="H2" s="374" t="s">
        <v>92</v>
      </c>
      <c r="I2" s="374" t="s">
        <v>6</v>
      </c>
      <c r="J2" s="374" t="s">
        <v>7</v>
      </c>
    </row>
    <row r="3" spans="1:10" ht="105" customHeight="1" x14ac:dyDescent="0.55000000000000004">
      <c r="A3" s="181"/>
      <c r="B3" s="200"/>
      <c r="C3" s="181"/>
      <c r="D3" s="181"/>
      <c r="E3" s="183"/>
      <c r="F3" s="183"/>
      <c r="G3" s="341">
        <v>414072</v>
      </c>
      <c r="H3" s="201" t="s">
        <v>129</v>
      </c>
      <c r="I3" s="181"/>
      <c r="J3" s="181"/>
    </row>
    <row r="4" spans="1:10" ht="75" customHeight="1" x14ac:dyDescent="0.55000000000000004">
      <c r="A4" s="360" t="s">
        <v>113</v>
      </c>
      <c r="B4" s="367">
        <v>45228</v>
      </c>
      <c r="C4" s="360">
        <v>1713</v>
      </c>
      <c r="D4" s="360"/>
      <c r="E4" s="369"/>
      <c r="F4" s="368">
        <v>42725</v>
      </c>
      <c r="G4" s="369">
        <f>+G3+E4-F4</f>
        <v>371347</v>
      </c>
      <c r="H4" s="369" t="s">
        <v>366</v>
      </c>
      <c r="I4" s="360" t="s">
        <v>502</v>
      </c>
      <c r="J4" s="360"/>
    </row>
    <row r="5" spans="1:10" ht="75" customHeight="1" x14ac:dyDescent="0.55000000000000004">
      <c r="A5" s="359" t="s">
        <v>113</v>
      </c>
      <c r="B5" s="365">
        <v>45228</v>
      </c>
      <c r="C5" s="359">
        <v>1714</v>
      </c>
      <c r="D5" s="359"/>
      <c r="E5" s="366"/>
      <c r="F5" s="366">
        <v>0</v>
      </c>
      <c r="G5" s="366">
        <f>+G4+E5-F5</f>
        <v>371347</v>
      </c>
      <c r="H5" s="359" t="s">
        <v>190</v>
      </c>
      <c r="I5" s="359"/>
      <c r="J5" s="359"/>
    </row>
    <row r="6" spans="1:10" ht="75" customHeight="1" x14ac:dyDescent="0.55000000000000004">
      <c r="A6" s="360" t="s">
        <v>113</v>
      </c>
      <c r="B6" s="367">
        <v>45228</v>
      </c>
      <c r="C6" s="360">
        <v>1715</v>
      </c>
      <c r="D6" s="360"/>
      <c r="E6" s="369"/>
      <c r="F6" s="368">
        <v>8000</v>
      </c>
      <c r="G6" s="366">
        <f t="shared" ref="G6:G29" si="0">+G5+E6-F6</f>
        <v>363347</v>
      </c>
      <c r="H6" s="369" t="s">
        <v>499</v>
      </c>
      <c r="I6" s="360" t="s">
        <v>293</v>
      </c>
      <c r="J6" s="360"/>
    </row>
    <row r="7" spans="1:10" ht="75" customHeight="1" x14ac:dyDescent="0.55000000000000004">
      <c r="A7" s="359" t="s">
        <v>113</v>
      </c>
      <c r="B7" s="365">
        <v>45228</v>
      </c>
      <c r="C7" s="359"/>
      <c r="D7" s="359">
        <v>1213</v>
      </c>
      <c r="E7" s="366">
        <v>100000</v>
      </c>
      <c r="F7" s="366"/>
      <c r="G7" s="366">
        <f t="shared" si="0"/>
        <v>463347</v>
      </c>
      <c r="H7" s="359" t="s">
        <v>20</v>
      </c>
      <c r="I7" s="359" t="s">
        <v>503</v>
      </c>
      <c r="J7" s="359"/>
    </row>
    <row r="8" spans="1:10" ht="75" customHeight="1" x14ac:dyDescent="0.55000000000000004">
      <c r="A8" s="360" t="s">
        <v>113</v>
      </c>
      <c r="B8" s="367">
        <v>45228</v>
      </c>
      <c r="C8" s="360">
        <v>1716</v>
      </c>
      <c r="D8" s="360"/>
      <c r="E8" s="369"/>
      <c r="F8" s="368">
        <v>150000</v>
      </c>
      <c r="G8" s="366">
        <f t="shared" si="0"/>
        <v>313347</v>
      </c>
      <c r="H8" s="369" t="s">
        <v>504</v>
      </c>
      <c r="I8" s="360" t="s">
        <v>468</v>
      </c>
      <c r="J8" s="360"/>
    </row>
    <row r="9" spans="1:10" ht="144" customHeight="1" x14ac:dyDescent="0.55000000000000004">
      <c r="A9" s="359" t="s">
        <v>113</v>
      </c>
      <c r="B9" s="365">
        <v>45231</v>
      </c>
      <c r="C9" s="359">
        <v>1717</v>
      </c>
      <c r="D9" s="359"/>
      <c r="E9" s="366"/>
      <c r="F9" s="366">
        <v>3000</v>
      </c>
      <c r="G9" s="366">
        <f t="shared" si="0"/>
        <v>310347</v>
      </c>
      <c r="H9" s="359" t="s">
        <v>118</v>
      </c>
      <c r="I9" s="359" t="s">
        <v>77</v>
      </c>
      <c r="J9" s="359"/>
    </row>
    <row r="10" spans="1:10" ht="144" customHeight="1" x14ac:dyDescent="0.55000000000000004">
      <c r="A10" s="360" t="s">
        <v>113</v>
      </c>
      <c r="B10" s="365">
        <v>45231</v>
      </c>
      <c r="C10" s="360">
        <v>1718</v>
      </c>
      <c r="D10" s="360"/>
      <c r="E10" s="368"/>
      <c r="F10" s="368">
        <v>250000</v>
      </c>
      <c r="G10" s="366">
        <f t="shared" si="0"/>
        <v>60347</v>
      </c>
      <c r="H10" s="369" t="s">
        <v>315</v>
      </c>
      <c r="I10" s="360" t="s">
        <v>316</v>
      </c>
      <c r="J10" s="360"/>
    </row>
    <row r="11" spans="1:10" ht="144" customHeight="1" x14ac:dyDescent="0.55000000000000004">
      <c r="A11" s="359" t="s">
        <v>113</v>
      </c>
      <c r="B11" s="365">
        <v>45231</v>
      </c>
      <c r="C11" s="359">
        <v>1719</v>
      </c>
      <c r="D11" s="359"/>
      <c r="E11" s="366"/>
      <c r="F11" s="366">
        <v>20680</v>
      </c>
      <c r="G11" s="366">
        <f t="shared" si="0"/>
        <v>39667</v>
      </c>
      <c r="H11" s="359" t="s">
        <v>506</v>
      </c>
      <c r="I11" s="359" t="s">
        <v>507</v>
      </c>
      <c r="J11" s="359"/>
    </row>
    <row r="12" spans="1:10" ht="144" customHeight="1" x14ac:dyDescent="0.55000000000000004">
      <c r="A12" s="360" t="s">
        <v>113</v>
      </c>
      <c r="B12" s="365">
        <v>45231</v>
      </c>
      <c r="C12" s="360">
        <v>1720</v>
      </c>
      <c r="D12" s="360"/>
      <c r="E12" s="369"/>
      <c r="F12" s="368">
        <v>447300</v>
      </c>
      <c r="G12" s="366">
        <f t="shared" si="0"/>
        <v>-407633</v>
      </c>
      <c r="H12" s="369" t="s">
        <v>311</v>
      </c>
      <c r="I12" s="360" t="s">
        <v>518</v>
      </c>
      <c r="J12" s="360"/>
    </row>
    <row r="13" spans="1:10" ht="144" customHeight="1" x14ac:dyDescent="0.55000000000000004">
      <c r="A13" s="359" t="s">
        <v>113</v>
      </c>
      <c r="B13" s="365">
        <v>45231</v>
      </c>
      <c r="C13" s="359"/>
      <c r="D13" s="359">
        <v>1214</v>
      </c>
      <c r="E13" s="369">
        <v>21416</v>
      </c>
      <c r="F13" s="366"/>
      <c r="G13" s="366">
        <f t="shared" si="0"/>
        <v>-386217</v>
      </c>
      <c r="H13" s="359" t="s">
        <v>508</v>
      </c>
      <c r="I13" s="359" t="s">
        <v>509</v>
      </c>
      <c r="J13" s="359"/>
    </row>
    <row r="14" spans="1:10" ht="144" customHeight="1" x14ac:dyDescent="0.55000000000000004">
      <c r="A14" s="360" t="s">
        <v>113</v>
      </c>
      <c r="B14" s="365">
        <v>45231</v>
      </c>
      <c r="C14" s="360"/>
      <c r="D14" s="360">
        <v>1215</v>
      </c>
      <c r="E14" s="369">
        <v>20000</v>
      </c>
      <c r="F14" s="368"/>
      <c r="G14" s="366">
        <f t="shared" si="0"/>
        <v>-366217</v>
      </c>
      <c r="H14" s="369" t="s">
        <v>457</v>
      </c>
      <c r="I14" s="360" t="s">
        <v>510</v>
      </c>
      <c r="J14" s="360"/>
    </row>
    <row r="15" spans="1:10" ht="144" customHeight="1" x14ac:dyDescent="0.55000000000000004">
      <c r="A15" s="359" t="s">
        <v>113</v>
      </c>
      <c r="B15" s="365">
        <v>45231</v>
      </c>
      <c r="C15" s="359"/>
      <c r="D15" s="359">
        <v>1216</v>
      </c>
      <c r="E15" s="369">
        <v>66000</v>
      </c>
      <c r="F15" s="366"/>
      <c r="G15" s="366">
        <f t="shared" si="0"/>
        <v>-300217</v>
      </c>
      <c r="H15" s="359" t="s">
        <v>511</v>
      </c>
      <c r="I15" s="359" t="s">
        <v>512</v>
      </c>
      <c r="J15" s="359"/>
    </row>
    <row r="16" spans="1:10" ht="144" customHeight="1" x14ac:dyDescent="0.55000000000000004">
      <c r="A16" s="360" t="s">
        <v>113</v>
      </c>
      <c r="B16" s="365">
        <v>45231</v>
      </c>
      <c r="C16" s="360"/>
      <c r="D16" s="360">
        <v>1217</v>
      </c>
      <c r="E16" s="369">
        <v>1000000</v>
      </c>
      <c r="F16" s="368"/>
      <c r="G16" s="366">
        <f t="shared" si="0"/>
        <v>699783</v>
      </c>
      <c r="H16" s="369" t="s">
        <v>441</v>
      </c>
      <c r="I16" s="371" t="s">
        <v>513</v>
      </c>
      <c r="J16" s="371" t="s">
        <v>514</v>
      </c>
    </row>
    <row r="17" spans="1:10" ht="144" customHeight="1" x14ac:dyDescent="0.55000000000000004">
      <c r="A17" s="360" t="s">
        <v>113</v>
      </c>
      <c r="B17" s="365">
        <v>45231</v>
      </c>
      <c r="C17" s="360"/>
      <c r="D17" s="360"/>
      <c r="E17" s="369"/>
      <c r="F17" s="368">
        <v>200000</v>
      </c>
      <c r="G17" s="366">
        <f t="shared" si="0"/>
        <v>499783</v>
      </c>
      <c r="H17" s="369" t="s">
        <v>441</v>
      </c>
      <c r="I17" s="371" t="s">
        <v>556</v>
      </c>
      <c r="J17" s="371"/>
    </row>
    <row r="18" spans="1:10" ht="144" customHeight="1" x14ac:dyDescent="0.55000000000000004">
      <c r="A18" s="360" t="s">
        <v>113</v>
      </c>
      <c r="B18" s="365">
        <v>45231</v>
      </c>
      <c r="C18" s="360"/>
      <c r="D18" s="360"/>
      <c r="E18" s="369"/>
      <c r="F18" s="368">
        <v>300000</v>
      </c>
      <c r="G18" s="366">
        <f t="shared" si="0"/>
        <v>199783</v>
      </c>
      <c r="H18" s="369" t="s">
        <v>441</v>
      </c>
      <c r="I18" s="371" t="s">
        <v>557</v>
      </c>
      <c r="J18" s="371"/>
    </row>
    <row r="19" spans="1:10" ht="144" customHeight="1" x14ac:dyDescent="0.55000000000000004">
      <c r="A19" s="360" t="s">
        <v>113</v>
      </c>
      <c r="B19" s="365">
        <v>45231</v>
      </c>
      <c r="C19" s="360">
        <v>1721</v>
      </c>
      <c r="D19" s="360"/>
      <c r="E19" s="369"/>
      <c r="F19" s="368">
        <v>200000</v>
      </c>
      <c r="G19" s="366">
        <f t="shared" si="0"/>
        <v>-217</v>
      </c>
      <c r="H19" s="369" t="s">
        <v>515</v>
      </c>
      <c r="I19" s="360" t="s">
        <v>516</v>
      </c>
      <c r="J19" s="360"/>
    </row>
    <row r="20" spans="1:10" ht="144" customHeight="1" x14ac:dyDescent="0.55000000000000004">
      <c r="A20" s="360" t="s">
        <v>114</v>
      </c>
      <c r="B20" s="365">
        <v>45231</v>
      </c>
      <c r="C20" s="360">
        <v>1721</v>
      </c>
      <c r="D20" s="360"/>
      <c r="E20" s="369"/>
      <c r="F20" s="368">
        <v>150000</v>
      </c>
      <c r="G20" s="366">
        <f t="shared" si="0"/>
        <v>-150217</v>
      </c>
      <c r="H20" s="369" t="s">
        <v>515</v>
      </c>
      <c r="I20" s="360" t="s">
        <v>559</v>
      </c>
      <c r="J20" s="360" t="s">
        <v>517</v>
      </c>
    </row>
    <row r="21" spans="1:10" ht="144" customHeight="1" x14ac:dyDescent="0.55000000000000004">
      <c r="A21" s="359" t="s">
        <v>113</v>
      </c>
      <c r="B21" s="365">
        <v>45231</v>
      </c>
      <c r="C21" s="359">
        <v>1722</v>
      </c>
      <c r="D21" s="359"/>
      <c r="E21" s="366"/>
      <c r="F21" s="366">
        <v>8340</v>
      </c>
      <c r="G21" s="366">
        <f t="shared" si="0"/>
        <v>-158557</v>
      </c>
      <c r="H21" s="359" t="s">
        <v>272</v>
      </c>
      <c r="I21" s="359" t="s">
        <v>523</v>
      </c>
      <c r="J21" s="359"/>
    </row>
    <row r="22" spans="1:10" ht="144" customHeight="1" x14ac:dyDescent="0.55000000000000004">
      <c r="A22" s="360" t="s">
        <v>113</v>
      </c>
      <c r="B22" s="365">
        <v>45231</v>
      </c>
      <c r="C22" s="360">
        <v>1723</v>
      </c>
      <c r="D22" s="360"/>
      <c r="E22" s="368"/>
      <c r="F22" s="368">
        <v>20000</v>
      </c>
      <c r="G22" s="366">
        <f t="shared" si="0"/>
        <v>-178557</v>
      </c>
      <c r="H22" s="359" t="s">
        <v>272</v>
      </c>
      <c r="I22" s="360" t="s">
        <v>524</v>
      </c>
      <c r="J22" s="360"/>
    </row>
    <row r="23" spans="1:10" ht="144" customHeight="1" x14ac:dyDescent="0.55000000000000004">
      <c r="A23" s="359" t="s">
        <v>113</v>
      </c>
      <c r="B23" s="365">
        <v>45231</v>
      </c>
      <c r="C23" s="359"/>
      <c r="D23" s="359">
        <v>1218</v>
      </c>
      <c r="E23" s="369">
        <v>200000</v>
      </c>
      <c r="F23" s="366"/>
      <c r="G23" s="366">
        <f t="shared" si="0"/>
        <v>21443</v>
      </c>
      <c r="H23" s="359" t="s">
        <v>519</v>
      </c>
      <c r="I23" s="359" t="s">
        <v>520</v>
      </c>
      <c r="J23" s="359"/>
    </row>
    <row r="24" spans="1:10" ht="144" customHeight="1" x14ac:dyDescent="0.55000000000000004">
      <c r="A24" s="360" t="s">
        <v>113</v>
      </c>
      <c r="B24" s="365">
        <v>45231</v>
      </c>
      <c r="C24" s="360"/>
      <c r="D24" s="360">
        <v>1219</v>
      </c>
      <c r="E24" s="369">
        <v>30000</v>
      </c>
      <c r="F24" s="368"/>
      <c r="G24" s="366">
        <f t="shared" si="0"/>
        <v>51443</v>
      </c>
      <c r="H24" s="369" t="s">
        <v>521</v>
      </c>
      <c r="I24" s="360" t="s">
        <v>522</v>
      </c>
      <c r="J24" s="360"/>
    </row>
    <row r="25" spans="1:10" ht="144" customHeight="1" x14ac:dyDescent="0.55000000000000004">
      <c r="A25" s="359" t="s">
        <v>113</v>
      </c>
      <c r="B25" s="365">
        <v>45231</v>
      </c>
      <c r="C25" s="359">
        <v>1724</v>
      </c>
      <c r="D25" s="359"/>
      <c r="E25" s="366"/>
      <c r="F25" s="366">
        <v>40000</v>
      </c>
      <c r="G25" s="366">
        <f t="shared" si="0"/>
        <v>11443</v>
      </c>
      <c r="H25" s="359" t="s">
        <v>419</v>
      </c>
      <c r="I25" s="359" t="s">
        <v>316</v>
      </c>
      <c r="J25" s="359"/>
    </row>
    <row r="26" spans="1:10" ht="144" customHeight="1" x14ac:dyDescent="0.55000000000000004">
      <c r="A26" s="360" t="s">
        <v>113</v>
      </c>
      <c r="B26" s="365">
        <v>45231</v>
      </c>
      <c r="C26" s="360">
        <v>1725</v>
      </c>
      <c r="D26" s="360"/>
      <c r="E26" s="368"/>
      <c r="F26" s="369">
        <v>10000</v>
      </c>
      <c r="G26" s="366">
        <f t="shared" si="0"/>
        <v>1443</v>
      </c>
      <c r="H26" s="369" t="s">
        <v>525</v>
      </c>
      <c r="I26" s="360" t="s">
        <v>526</v>
      </c>
      <c r="J26" s="360"/>
    </row>
    <row r="27" spans="1:10" ht="144" customHeight="1" x14ac:dyDescent="0.55000000000000004">
      <c r="A27" s="379"/>
      <c r="B27" s="365">
        <v>45231</v>
      </c>
      <c r="C27" s="379"/>
      <c r="D27" s="379"/>
      <c r="E27" s="378">
        <v>480000</v>
      </c>
      <c r="F27" s="378"/>
      <c r="G27" s="366">
        <f t="shared" si="0"/>
        <v>481443</v>
      </c>
      <c r="H27" s="379" t="s">
        <v>203</v>
      </c>
      <c r="I27" s="379"/>
      <c r="J27" s="359"/>
    </row>
    <row r="28" spans="1:10" ht="144" customHeight="1" x14ac:dyDescent="0.55000000000000004">
      <c r="A28" s="379"/>
      <c r="B28" s="365">
        <v>45231</v>
      </c>
      <c r="C28" s="379"/>
      <c r="D28" s="379"/>
      <c r="E28" s="378"/>
      <c r="F28" s="378">
        <v>480000</v>
      </c>
      <c r="G28" s="366">
        <f t="shared" si="0"/>
        <v>1443</v>
      </c>
      <c r="H28" s="378" t="s">
        <v>311</v>
      </c>
      <c r="I28" s="379"/>
      <c r="J28" s="360"/>
    </row>
    <row r="29" spans="1:10" ht="144" customHeight="1" x14ac:dyDescent="0.55000000000000004">
      <c r="A29" s="359"/>
      <c r="B29" s="365"/>
      <c r="C29" s="359"/>
      <c r="D29" s="359"/>
      <c r="E29" s="366"/>
      <c r="F29" s="366"/>
      <c r="G29" s="366">
        <f t="shared" si="0"/>
        <v>1443</v>
      </c>
      <c r="H29" s="359"/>
      <c r="I29" s="359"/>
      <c r="J29" s="359"/>
    </row>
    <row r="30" spans="1:10" s="357" customFormat="1" ht="18" customHeight="1" thickBot="1" x14ac:dyDescent="0.6">
      <c r="A30" s="571"/>
      <c r="B30" s="571"/>
      <c r="C30" s="571"/>
      <c r="D30" s="571"/>
      <c r="E30" s="571"/>
      <c r="F30" s="571"/>
      <c r="G30" s="571"/>
      <c r="H30" s="571"/>
      <c r="I30" s="571"/>
      <c r="J30" s="571"/>
    </row>
    <row r="31" spans="1:10" ht="144" customHeight="1" thickTop="1" x14ac:dyDescent="0.55000000000000004">
      <c r="A31" s="170"/>
      <c r="B31" s="109" t="s">
        <v>127</v>
      </c>
      <c r="C31" s="110" t="s">
        <v>115</v>
      </c>
      <c r="D31" s="110" t="s">
        <v>179</v>
      </c>
      <c r="E31" s="110" t="s">
        <v>116</v>
      </c>
      <c r="F31" s="100" t="s">
        <v>180</v>
      </c>
      <c r="G31" s="111" t="s">
        <v>211</v>
      </c>
      <c r="H31" s="175"/>
      <c r="I31" s="340"/>
      <c r="J31" s="176"/>
    </row>
    <row r="32" spans="1:10" ht="144" customHeight="1" thickBot="1" x14ac:dyDescent="0.6">
      <c r="A32" s="161"/>
      <c r="B32" s="102">
        <f>$G$3</f>
        <v>414072</v>
      </c>
      <c r="C32" s="103">
        <f>SUMIF(A4:A29,B1,E4:E$29)</f>
        <v>1437416</v>
      </c>
      <c r="D32" s="103">
        <f>SUMIF(A4:A29,B1,F4:$F$29)</f>
        <v>1700045</v>
      </c>
      <c r="E32" s="103">
        <f>SUMIF(A3:A29,A1,E3:$E$29)</f>
        <v>0</v>
      </c>
      <c r="F32" s="103">
        <f>SUMIF(A3:A29,A1,F3:$F$29)</f>
        <v>150000</v>
      </c>
      <c r="G32" s="104">
        <f>+B32+C32+E32-D32-F32</f>
        <v>1443</v>
      </c>
      <c r="H32" s="164"/>
      <c r="I32" s="180"/>
      <c r="J32" s="180"/>
    </row>
    <row r="33" spans="1:10" ht="144" customHeight="1" thickTop="1" x14ac:dyDescent="0.55000000000000004">
      <c r="A33" s="161"/>
      <c r="B33" s="161"/>
      <c r="C33" s="341">
        <f>+B32+C32-D32</f>
        <v>151443</v>
      </c>
      <c r="D33" s="562" t="s">
        <v>181</v>
      </c>
      <c r="E33" s="562"/>
      <c r="F33" s="562"/>
      <c r="G33" s="163"/>
      <c r="H33" s="164"/>
      <c r="I33" s="161"/>
      <c r="J33" s="161"/>
    </row>
    <row r="34" spans="1:10" ht="144" customHeight="1" x14ac:dyDescent="0.55000000000000004">
      <c r="A34" s="161"/>
      <c r="B34" s="161"/>
      <c r="C34" s="342"/>
      <c r="D34" s="565" t="s">
        <v>278</v>
      </c>
      <c r="E34" s="565"/>
      <c r="F34" s="565"/>
      <c r="G34" s="163"/>
      <c r="H34" s="164"/>
      <c r="I34" s="161"/>
      <c r="J34" s="161"/>
    </row>
    <row r="35" spans="1:10" ht="144" customHeight="1" x14ac:dyDescent="0.55000000000000004">
      <c r="A35" s="161"/>
      <c r="B35" s="161"/>
      <c r="C35" s="342"/>
      <c r="D35" s="227" t="s">
        <v>279</v>
      </c>
      <c r="E35" s="227" t="s">
        <v>280</v>
      </c>
      <c r="F35" s="227" t="s">
        <v>281</v>
      </c>
      <c r="G35" s="163"/>
      <c r="H35" s="164"/>
      <c r="I35" s="161"/>
      <c r="J35" s="161"/>
    </row>
    <row r="36" spans="1:10" ht="144" customHeight="1" x14ac:dyDescent="0.55000000000000004">
      <c r="A36" s="161"/>
      <c r="B36" s="161"/>
      <c r="C36" s="161"/>
      <c r="D36" s="344">
        <v>37</v>
      </c>
      <c r="E36" s="345">
        <v>200</v>
      </c>
      <c r="F36" s="345">
        <f>+E36*D36</f>
        <v>7400</v>
      </c>
      <c r="G36" s="163"/>
      <c r="H36" s="164"/>
      <c r="I36" s="161"/>
      <c r="J36" s="161"/>
    </row>
    <row r="37" spans="1:10" ht="144" customHeight="1" x14ac:dyDescent="0.55000000000000004">
      <c r="A37" s="161"/>
      <c r="B37" s="161"/>
      <c r="C37" s="161"/>
      <c r="D37" s="344">
        <v>1398</v>
      </c>
      <c r="E37" s="345">
        <v>100</v>
      </c>
      <c r="F37" s="345">
        <f t="shared" ref="F37:F42" si="1">+E37*D37</f>
        <v>139800</v>
      </c>
      <c r="G37" s="163"/>
      <c r="H37" s="164"/>
      <c r="I37" s="163"/>
      <c r="J37" s="161"/>
    </row>
    <row r="38" spans="1:10" ht="144" customHeight="1" x14ac:dyDescent="0.55000000000000004">
      <c r="A38" s="161"/>
      <c r="B38" s="161"/>
      <c r="C38" s="161"/>
      <c r="D38" s="344">
        <v>16</v>
      </c>
      <c r="E38" s="345">
        <v>50</v>
      </c>
      <c r="F38" s="345">
        <f t="shared" si="1"/>
        <v>800</v>
      </c>
      <c r="G38" s="163"/>
      <c r="H38" s="164"/>
      <c r="I38" s="161"/>
      <c r="J38" s="161"/>
    </row>
    <row r="39" spans="1:10" ht="144" customHeight="1" x14ac:dyDescent="0.55000000000000004">
      <c r="A39" s="161"/>
      <c r="B39" s="161"/>
      <c r="C39" s="161"/>
      <c r="D39" s="344">
        <v>104</v>
      </c>
      <c r="E39" s="345">
        <v>20</v>
      </c>
      <c r="F39" s="345">
        <f t="shared" si="1"/>
        <v>2080</v>
      </c>
      <c r="G39" s="163"/>
      <c r="H39" s="164"/>
      <c r="I39" s="161"/>
      <c r="J39" s="161"/>
    </row>
    <row r="40" spans="1:10" ht="144" customHeight="1" x14ac:dyDescent="0.55000000000000004">
      <c r="A40" s="161"/>
      <c r="B40" s="161"/>
      <c r="C40" s="161"/>
      <c r="D40" s="344">
        <v>133</v>
      </c>
      <c r="E40" s="345">
        <v>10</v>
      </c>
      <c r="F40" s="345">
        <f t="shared" si="1"/>
        <v>1330</v>
      </c>
      <c r="G40" s="163"/>
      <c r="H40" s="164"/>
      <c r="I40" s="161"/>
      <c r="J40" s="161"/>
    </row>
    <row r="41" spans="1:10" ht="144" customHeight="1" x14ac:dyDescent="0.55000000000000004">
      <c r="A41" s="161"/>
      <c r="B41" s="161"/>
      <c r="C41" s="161"/>
      <c r="D41" s="344">
        <v>8</v>
      </c>
      <c r="E41" s="345">
        <v>5</v>
      </c>
      <c r="F41" s="345">
        <f t="shared" si="1"/>
        <v>40</v>
      </c>
      <c r="G41" s="163"/>
      <c r="H41" s="164"/>
      <c r="I41" s="161"/>
      <c r="J41" s="161"/>
    </row>
    <row r="42" spans="1:10" ht="144" customHeight="1" thickBot="1" x14ac:dyDescent="0.6">
      <c r="A42" s="161"/>
      <c r="B42" s="161"/>
      <c r="C42" s="161"/>
      <c r="D42" s="346">
        <v>3</v>
      </c>
      <c r="E42" s="347">
        <v>1</v>
      </c>
      <c r="F42" s="347">
        <f t="shared" si="1"/>
        <v>3</v>
      </c>
      <c r="G42" s="163"/>
      <c r="H42" s="164"/>
      <c r="I42" s="161"/>
      <c r="J42" s="161"/>
    </row>
    <row r="43" spans="1:10" ht="144" customHeight="1" x14ac:dyDescent="0.55000000000000004">
      <c r="A43" s="161"/>
      <c r="B43" s="161"/>
      <c r="C43" s="161"/>
      <c r="D43" s="348"/>
      <c r="E43" s="349" t="s">
        <v>283</v>
      </c>
      <c r="F43" s="350">
        <f>SUM(F36:F42)</f>
        <v>151453</v>
      </c>
      <c r="G43" s="163"/>
      <c r="H43" s="164"/>
      <c r="I43" s="161"/>
      <c r="J43" s="161"/>
    </row>
    <row r="44" spans="1:10" ht="144" customHeight="1" x14ac:dyDescent="0.55000000000000004">
      <c r="A44" s="161"/>
      <c r="B44" s="161"/>
      <c r="C44" s="161"/>
      <c r="D44" s="351"/>
      <c r="E44" s="352" t="s">
        <v>282</v>
      </c>
      <c r="F44" s="353">
        <f>C33</f>
        <v>151443</v>
      </c>
      <c r="G44" s="163"/>
      <c r="H44" s="164"/>
      <c r="I44" s="161"/>
      <c r="J44" s="161"/>
    </row>
    <row r="45" spans="1:10" ht="144" customHeight="1" thickBot="1" x14ac:dyDescent="0.6">
      <c r="A45" s="161"/>
      <c r="B45" s="161"/>
      <c r="C45" s="161"/>
      <c r="D45" s="354"/>
      <c r="E45" s="355" t="s">
        <v>284</v>
      </c>
      <c r="F45" s="356">
        <f>+F43-F44</f>
        <v>10</v>
      </c>
      <c r="G45" s="163"/>
      <c r="H45" s="164"/>
      <c r="I45" s="161"/>
      <c r="J45" s="161"/>
    </row>
  </sheetData>
  <mergeCells count="3">
    <mergeCell ref="A30:J30"/>
    <mergeCell ref="D33:F33"/>
    <mergeCell ref="D34:F34"/>
  </mergeCells>
  <conditionalFormatting sqref="A1">
    <cfRule type="cellIs" dxfId="111" priority="6" operator="equal">
      <formula>#REF!</formula>
    </cfRule>
  </conditionalFormatting>
  <conditionalFormatting sqref="A2:A3 A10:A45">
    <cfRule type="cellIs" dxfId="110" priority="8" operator="equal">
      <formula>#REF!</formula>
    </cfRule>
  </conditionalFormatting>
  <conditionalFormatting sqref="A4:A9">
    <cfRule type="cellIs" dxfId="109" priority="1" operator="equal">
      <formula>#REF!</formula>
    </cfRule>
  </conditionalFormatting>
  <conditionalFormatting sqref="B1">
    <cfRule type="cellIs" dxfId="108" priority="5" operator="equal">
      <formula>#REF!</formula>
    </cfRule>
  </conditionalFormatting>
  <conditionalFormatting sqref="C2:D2">
    <cfRule type="duplicateValues" dxfId="107" priority="7"/>
  </conditionalFormatting>
  <printOptions horizontalCentered="1" verticalCentered="1"/>
  <pageMargins left="0" right="0" top="0" bottom="0" header="0" footer="0"/>
  <pageSetup paperSize="9" scale="10" orientation="landscape" blackAndWhite="1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J37"/>
  <sheetViews>
    <sheetView rightToLeft="1" view="pageBreakPreview" zoomScale="25" zoomScaleNormal="10" zoomScaleSheetLayoutView="25" workbookViewId="0">
      <pane ySplit="2" topLeftCell="A3" activePane="bottomLeft" state="frozen"/>
      <selection activeCell="I43" sqref="I43:I44"/>
      <selection pane="bottomLeft" activeCell="A4" sqref="A4:J21"/>
    </sheetView>
  </sheetViews>
  <sheetFormatPr defaultColWidth="42.85546875" defaultRowHeight="75" customHeight="1" x14ac:dyDescent="0.55000000000000004"/>
  <cols>
    <col min="1" max="1" width="50" style="334" customWidth="1"/>
    <col min="2" max="2" width="50.140625" style="334" bestFit="1" customWidth="1"/>
    <col min="3" max="4" width="56.140625" style="334" bestFit="1" customWidth="1"/>
    <col min="5" max="5" width="55.7109375" style="334" customWidth="1"/>
    <col min="6" max="6" width="60.7109375" style="334" customWidth="1"/>
    <col min="7" max="7" width="72.7109375" style="334" customWidth="1"/>
    <col min="8" max="8" width="65.7109375" style="334" customWidth="1"/>
    <col min="9" max="9" width="194.5703125" style="334" bestFit="1" customWidth="1"/>
    <col min="10" max="10" width="65.42578125" style="334" customWidth="1"/>
    <col min="11" max="16384" width="42.85546875" style="334"/>
  </cols>
  <sheetData>
    <row r="1" spans="1:10" ht="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376" customFormat="1" ht="186" customHeight="1" thickBot="1" x14ac:dyDescent="1.1000000000000001">
      <c r="A2" s="372" t="s">
        <v>132</v>
      </c>
      <c r="B2" s="373" t="s">
        <v>1</v>
      </c>
      <c r="C2" s="374" t="s">
        <v>86</v>
      </c>
      <c r="D2" s="374" t="s">
        <v>163</v>
      </c>
      <c r="E2" s="375" t="s">
        <v>2</v>
      </c>
      <c r="F2" s="375" t="s">
        <v>3</v>
      </c>
      <c r="G2" s="375" t="s">
        <v>4</v>
      </c>
      <c r="H2" s="374" t="s">
        <v>92</v>
      </c>
      <c r="I2" s="374" t="s">
        <v>6</v>
      </c>
      <c r="J2" s="374" t="s">
        <v>7</v>
      </c>
    </row>
    <row r="3" spans="1:10" ht="105" customHeight="1" x14ac:dyDescent="0.55000000000000004">
      <c r="A3" s="181"/>
      <c r="B3" s="200"/>
      <c r="C3" s="181"/>
      <c r="D3" s="181"/>
      <c r="E3" s="183"/>
      <c r="F3" s="183"/>
      <c r="G3" s="201">
        <v>151443</v>
      </c>
      <c r="H3" s="201" t="s">
        <v>129</v>
      </c>
      <c r="I3" s="181"/>
      <c r="J3" s="181"/>
    </row>
    <row r="4" spans="1:10" ht="144" customHeight="1" x14ac:dyDescent="0.55000000000000004">
      <c r="A4" s="359" t="s">
        <v>113</v>
      </c>
      <c r="B4" s="365">
        <v>45232</v>
      </c>
      <c r="C4" s="359"/>
      <c r="D4" s="359">
        <v>1220</v>
      </c>
      <c r="E4" s="383">
        <v>80000</v>
      </c>
      <c r="F4" s="383"/>
      <c r="G4" s="366">
        <f>G3+E4-F4</f>
        <v>231443</v>
      </c>
      <c r="H4" s="359" t="s">
        <v>527</v>
      </c>
      <c r="I4" s="359" t="s">
        <v>528</v>
      </c>
      <c r="J4" s="359"/>
    </row>
    <row r="5" spans="1:10" ht="144" customHeight="1" x14ac:dyDescent="0.55000000000000004">
      <c r="A5" s="360" t="s">
        <v>113</v>
      </c>
      <c r="B5" s="365">
        <v>45232</v>
      </c>
      <c r="C5" s="360"/>
      <c r="D5" s="360">
        <v>1221</v>
      </c>
      <c r="E5" s="186">
        <v>150000</v>
      </c>
      <c r="F5" s="186"/>
      <c r="G5" s="366">
        <f>G4+E5-F5</f>
        <v>381443</v>
      </c>
      <c r="H5" s="369" t="s">
        <v>529</v>
      </c>
      <c r="I5" s="360"/>
      <c r="J5" s="360"/>
    </row>
    <row r="6" spans="1:10" s="382" customFormat="1" ht="144" customHeight="1" x14ac:dyDescent="0.55000000000000004">
      <c r="A6" s="380" t="s">
        <v>114</v>
      </c>
      <c r="B6" s="365">
        <v>45232</v>
      </c>
      <c r="C6" s="380"/>
      <c r="D6" s="380">
        <v>1222</v>
      </c>
      <c r="E6" s="384">
        <v>300000</v>
      </c>
      <c r="F6" s="384"/>
      <c r="G6" s="366">
        <f t="shared" ref="G6:G21" si="0">G5+E6-F6</f>
        <v>681443</v>
      </c>
      <c r="H6" s="381" t="s">
        <v>529</v>
      </c>
      <c r="I6" s="380" t="s">
        <v>530</v>
      </c>
      <c r="J6" s="380"/>
    </row>
    <row r="7" spans="1:10" ht="144" customHeight="1" x14ac:dyDescent="0.55000000000000004">
      <c r="A7" s="360" t="s">
        <v>113</v>
      </c>
      <c r="B7" s="365">
        <v>45232</v>
      </c>
      <c r="C7" s="360"/>
      <c r="D7" s="360">
        <v>1223</v>
      </c>
      <c r="E7" s="385">
        <v>70000</v>
      </c>
      <c r="F7" s="186"/>
      <c r="G7" s="366">
        <f t="shared" si="0"/>
        <v>751443</v>
      </c>
      <c r="H7" s="369" t="s">
        <v>531</v>
      </c>
      <c r="I7" s="360" t="s">
        <v>532</v>
      </c>
      <c r="J7" s="360"/>
    </row>
    <row r="8" spans="1:10" ht="144" customHeight="1" x14ac:dyDescent="0.55000000000000004">
      <c r="A8" s="359" t="s">
        <v>113</v>
      </c>
      <c r="B8" s="365">
        <v>45232</v>
      </c>
      <c r="C8" s="359"/>
      <c r="D8" s="359">
        <v>1224</v>
      </c>
      <c r="E8" s="385">
        <v>123000</v>
      </c>
      <c r="F8" s="383"/>
      <c r="G8" s="366">
        <f t="shared" si="0"/>
        <v>874443</v>
      </c>
      <c r="H8" s="359" t="s">
        <v>533</v>
      </c>
      <c r="I8" s="359" t="s">
        <v>534</v>
      </c>
      <c r="J8" s="359"/>
    </row>
    <row r="9" spans="1:10" ht="144" customHeight="1" x14ac:dyDescent="0.55000000000000004">
      <c r="A9" s="360" t="s">
        <v>113</v>
      </c>
      <c r="B9" s="365">
        <v>45232</v>
      </c>
      <c r="C9" s="360"/>
      <c r="D9" s="360">
        <v>1225</v>
      </c>
      <c r="E9" s="385">
        <v>40000</v>
      </c>
      <c r="F9" s="186"/>
      <c r="G9" s="366">
        <f t="shared" si="0"/>
        <v>914443</v>
      </c>
      <c r="H9" s="369" t="s">
        <v>17</v>
      </c>
      <c r="I9" s="360" t="s">
        <v>535</v>
      </c>
      <c r="J9" s="360"/>
    </row>
    <row r="10" spans="1:10" ht="144" customHeight="1" x14ac:dyDescent="0.55000000000000004">
      <c r="A10" s="359" t="s">
        <v>113</v>
      </c>
      <c r="B10" s="365">
        <v>45232</v>
      </c>
      <c r="C10" s="359"/>
      <c r="D10" s="359">
        <v>1226</v>
      </c>
      <c r="E10" s="385">
        <v>500000</v>
      </c>
      <c r="F10" s="383"/>
      <c r="G10" s="366">
        <f t="shared" si="0"/>
        <v>1414443</v>
      </c>
      <c r="H10" s="359" t="s">
        <v>536</v>
      </c>
      <c r="I10" s="359" t="s">
        <v>537</v>
      </c>
      <c r="J10" s="359"/>
    </row>
    <row r="11" spans="1:10" ht="144" customHeight="1" x14ac:dyDescent="0.55000000000000004">
      <c r="A11" s="359" t="s">
        <v>113</v>
      </c>
      <c r="B11" s="365">
        <v>45232</v>
      </c>
      <c r="C11" s="359">
        <v>1726</v>
      </c>
      <c r="D11" s="359"/>
      <c r="E11" s="385"/>
      <c r="F11" s="383">
        <v>50000</v>
      </c>
      <c r="G11" s="366">
        <f t="shared" si="0"/>
        <v>1364443</v>
      </c>
      <c r="H11" s="359" t="s">
        <v>69</v>
      </c>
      <c r="I11" s="359" t="s">
        <v>316</v>
      </c>
      <c r="J11" s="359"/>
    </row>
    <row r="12" spans="1:10" ht="144" customHeight="1" x14ac:dyDescent="0.55000000000000004">
      <c r="A12" s="360" t="s">
        <v>113</v>
      </c>
      <c r="B12" s="365">
        <v>45232</v>
      </c>
      <c r="C12" s="360">
        <v>1727</v>
      </c>
      <c r="D12" s="360"/>
      <c r="E12" s="385"/>
      <c r="F12" s="186">
        <v>1600</v>
      </c>
      <c r="G12" s="366">
        <f t="shared" si="0"/>
        <v>1362843</v>
      </c>
      <c r="H12" s="369" t="s">
        <v>538</v>
      </c>
      <c r="I12" s="360" t="s">
        <v>539</v>
      </c>
      <c r="J12" s="360"/>
    </row>
    <row r="13" spans="1:10" ht="144" customHeight="1" x14ac:dyDescent="0.55000000000000004">
      <c r="A13" s="360" t="s">
        <v>113</v>
      </c>
      <c r="B13" s="365">
        <v>45232</v>
      </c>
      <c r="C13" s="360">
        <v>1728</v>
      </c>
      <c r="D13" s="360"/>
      <c r="E13" s="385"/>
      <c r="F13" s="186">
        <v>1500</v>
      </c>
      <c r="G13" s="366">
        <f t="shared" si="0"/>
        <v>1361343</v>
      </c>
      <c r="H13" s="369" t="s">
        <v>470</v>
      </c>
      <c r="I13" s="360" t="s">
        <v>540</v>
      </c>
      <c r="J13" s="360"/>
    </row>
    <row r="14" spans="1:10" ht="144" customHeight="1" x14ac:dyDescent="0.55000000000000004">
      <c r="A14" s="359" t="s">
        <v>113</v>
      </c>
      <c r="B14" s="365">
        <v>45232</v>
      </c>
      <c r="C14" s="359">
        <v>1729</v>
      </c>
      <c r="D14" s="359"/>
      <c r="E14" s="383"/>
      <c r="F14" s="383">
        <v>10000</v>
      </c>
      <c r="G14" s="366">
        <f t="shared" si="0"/>
        <v>1351343</v>
      </c>
      <c r="H14" s="359" t="s">
        <v>541</v>
      </c>
      <c r="I14" s="359" t="s">
        <v>542</v>
      </c>
      <c r="J14" s="359"/>
    </row>
    <row r="15" spans="1:10" ht="144" customHeight="1" x14ac:dyDescent="0.55000000000000004">
      <c r="A15" s="360" t="s">
        <v>113</v>
      </c>
      <c r="B15" s="365">
        <v>45232</v>
      </c>
      <c r="C15" s="360">
        <v>1730</v>
      </c>
      <c r="D15" s="360"/>
      <c r="E15" s="186"/>
      <c r="F15" s="186">
        <v>835</v>
      </c>
      <c r="G15" s="366">
        <f t="shared" si="0"/>
        <v>1350508</v>
      </c>
      <c r="H15" s="359" t="s">
        <v>72</v>
      </c>
      <c r="I15" s="360" t="s">
        <v>543</v>
      </c>
      <c r="J15" s="360"/>
    </row>
    <row r="16" spans="1:10" ht="144" customHeight="1" x14ac:dyDescent="0.55000000000000004">
      <c r="A16" s="359" t="s">
        <v>113</v>
      </c>
      <c r="B16" s="365">
        <v>45232</v>
      </c>
      <c r="C16" s="359">
        <v>1731</v>
      </c>
      <c r="D16" s="359"/>
      <c r="E16" s="385"/>
      <c r="F16" s="383">
        <v>10000</v>
      </c>
      <c r="G16" s="366">
        <f t="shared" si="0"/>
        <v>1340508</v>
      </c>
      <c r="H16" s="359" t="s">
        <v>544</v>
      </c>
      <c r="I16" s="359" t="s">
        <v>545</v>
      </c>
      <c r="J16" s="359"/>
    </row>
    <row r="17" spans="1:10" ht="144" customHeight="1" x14ac:dyDescent="0.55000000000000004">
      <c r="A17" s="360" t="s">
        <v>113</v>
      </c>
      <c r="B17" s="365">
        <v>45232</v>
      </c>
      <c r="C17" s="360">
        <v>1732</v>
      </c>
      <c r="D17" s="360"/>
      <c r="E17" s="385"/>
      <c r="F17" s="186">
        <v>5000</v>
      </c>
      <c r="G17" s="366">
        <f t="shared" si="0"/>
        <v>1335508</v>
      </c>
      <c r="H17" s="369" t="s">
        <v>546</v>
      </c>
      <c r="I17" s="360" t="s">
        <v>224</v>
      </c>
      <c r="J17" s="360"/>
    </row>
    <row r="18" spans="1:10" ht="144" customHeight="1" x14ac:dyDescent="0.55000000000000004">
      <c r="A18" s="359" t="s">
        <v>113</v>
      </c>
      <c r="B18" s="365">
        <v>45232</v>
      </c>
      <c r="C18" s="359">
        <v>1733</v>
      </c>
      <c r="D18" s="359"/>
      <c r="E18" s="383"/>
      <c r="F18" s="383">
        <v>5000</v>
      </c>
      <c r="G18" s="366">
        <f t="shared" si="0"/>
        <v>1330508</v>
      </c>
      <c r="H18" s="359" t="s">
        <v>71</v>
      </c>
      <c r="I18" s="359" t="s">
        <v>316</v>
      </c>
      <c r="J18" s="359"/>
    </row>
    <row r="19" spans="1:10" ht="144" customHeight="1" x14ac:dyDescent="0.55000000000000004">
      <c r="A19" s="360" t="s">
        <v>113</v>
      </c>
      <c r="B19" s="365">
        <v>45232</v>
      </c>
      <c r="C19" s="360">
        <v>1734</v>
      </c>
      <c r="D19" s="360"/>
      <c r="E19" s="186"/>
      <c r="F19" s="186">
        <v>2420</v>
      </c>
      <c r="G19" s="366">
        <f t="shared" si="0"/>
        <v>1328088</v>
      </c>
      <c r="H19" s="369" t="s">
        <v>228</v>
      </c>
      <c r="I19" s="360" t="s">
        <v>547</v>
      </c>
      <c r="J19" s="360"/>
    </row>
    <row r="20" spans="1:10" ht="144" customHeight="1" x14ac:dyDescent="0.55000000000000004">
      <c r="A20" s="360" t="s">
        <v>113</v>
      </c>
      <c r="B20" s="365">
        <v>45232</v>
      </c>
      <c r="C20" s="360">
        <v>1735</v>
      </c>
      <c r="D20" s="360"/>
      <c r="E20" s="186"/>
      <c r="F20" s="186">
        <v>20000</v>
      </c>
      <c r="G20" s="366">
        <f t="shared" si="0"/>
        <v>1308088</v>
      </c>
      <c r="H20" s="369" t="s">
        <v>72</v>
      </c>
      <c r="I20" s="360" t="s">
        <v>548</v>
      </c>
      <c r="J20" s="360"/>
    </row>
    <row r="21" spans="1:10" ht="144" customHeight="1" x14ac:dyDescent="0.55000000000000004">
      <c r="A21" s="360" t="s">
        <v>113</v>
      </c>
      <c r="B21" s="365">
        <v>45232</v>
      </c>
      <c r="C21" s="360">
        <v>1736</v>
      </c>
      <c r="D21" s="360"/>
      <c r="E21" s="186"/>
      <c r="F21" s="186">
        <v>50000</v>
      </c>
      <c r="G21" s="366">
        <f t="shared" si="0"/>
        <v>1258088</v>
      </c>
      <c r="H21" s="369" t="s">
        <v>549</v>
      </c>
      <c r="I21" s="360" t="s">
        <v>316</v>
      </c>
      <c r="J21" s="360"/>
    </row>
    <row r="22" spans="1:10" ht="144" customHeight="1" thickBot="1" x14ac:dyDescent="0.6">
      <c r="A22" s="386"/>
      <c r="B22" s="387"/>
      <c r="C22" s="386"/>
      <c r="D22" s="386"/>
      <c r="E22" s="390" t="s">
        <v>550</v>
      </c>
      <c r="F22" s="388"/>
      <c r="G22" s="389"/>
      <c r="H22" s="391" t="s">
        <v>551</v>
      </c>
      <c r="I22" s="386"/>
      <c r="J22" s="386"/>
    </row>
    <row r="23" spans="1:10" ht="144" customHeight="1" thickTop="1" x14ac:dyDescent="0.55000000000000004">
      <c r="A23" s="170"/>
      <c r="B23" s="109" t="s">
        <v>127</v>
      </c>
      <c r="C23" s="110" t="s">
        <v>115</v>
      </c>
      <c r="D23" s="110" t="s">
        <v>179</v>
      </c>
      <c r="E23" s="110" t="s">
        <v>116</v>
      </c>
      <c r="F23" s="100" t="s">
        <v>180</v>
      </c>
      <c r="G23" s="111" t="s">
        <v>211</v>
      </c>
      <c r="H23" s="175"/>
      <c r="I23" s="340"/>
      <c r="J23" s="176"/>
    </row>
    <row r="24" spans="1:10" ht="144" customHeight="1" thickBot="1" x14ac:dyDescent="0.6">
      <c r="A24" s="161"/>
      <c r="B24" s="102">
        <f>$G$3</f>
        <v>151443</v>
      </c>
      <c r="C24" s="103">
        <f>SUMIF(A4:A21,B1,E4:E$21)</f>
        <v>963000</v>
      </c>
      <c r="D24" s="103">
        <f>SUMIF(A4:A21,B1,F4:$F$21)</f>
        <v>156355</v>
      </c>
      <c r="E24" s="103">
        <f>SUMIF(A3:A21,A1,E3:$E$21)</f>
        <v>300000</v>
      </c>
      <c r="F24" s="103">
        <f>SUMIF(A3:A21,A1,F3:$F$21)</f>
        <v>0</v>
      </c>
      <c r="G24" s="104">
        <f>+B24+C24+E24-D24-F24</f>
        <v>1258088</v>
      </c>
      <c r="H24" s="164"/>
      <c r="I24" s="180"/>
      <c r="J24" s="180"/>
    </row>
    <row r="25" spans="1:10" ht="144" customHeight="1" thickTop="1" x14ac:dyDescent="0.55000000000000004">
      <c r="A25" s="161"/>
      <c r="B25" s="161"/>
      <c r="C25" s="341">
        <f>+B24+C24-D24</f>
        <v>958088</v>
      </c>
      <c r="D25" s="562" t="s">
        <v>181</v>
      </c>
      <c r="E25" s="562"/>
      <c r="F25" s="562"/>
      <c r="G25" s="163"/>
      <c r="H25" s="164"/>
      <c r="I25" s="161"/>
      <c r="J25" s="161"/>
    </row>
    <row r="26" spans="1:10" ht="144" customHeight="1" x14ac:dyDescent="0.55000000000000004">
      <c r="A26" s="161"/>
      <c r="B26" s="161"/>
      <c r="C26" s="342"/>
      <c r="D26" s="565" t="s">
        <v>278</v>
      </c>
      <c r="E26" s="565"/>
      <c r="F26" s="565"/>
      <c r="G26" s="163"/>
      <c r="H26" s="164"/>
      <c r="I26" s="161"/>
      <c r="J26" s="161"/>
    </row>
    <row r="27" spans="1:10" ht="144" customHeight="1" x14ac:dyDescent="0.55000000000000004">
      <c r="A27" s="161"/>
      <c r="B27" s="161"/>
      <c r="C27" s="342"/>
      <c r="D27" s="227" t="s">
        <v>279</v>
      </c>
      <c r="E27" s="227" t="s">
        <v>280</v>
      </c>
      <c r="F27" s="227" t="s">
        <v>281</v>
      </c>
      <c r="G27" s="163"/>
      <c r="H27" s="164"/>
      <c r="I27" s="161"/>
      <c r="J27" s="161"/>
    </row>
    <row r="28" spans="1:10" ht="144" customHeight="1" x14ac:dyDescent="0.55000000000000004">
      <c r="A28" s="161"/>
      <c r="B28" s="161"/>
      <c r="C28" s="161"/>
      <c r="D28" s="344">
        <v>3536</v>
      </c>
      <c r="E28" s="345">
        <v>200</v>
      </c>
      <c r="F28" s="345">
        <f>+E28*D28</f>
        <v>707200</v>
      </c>
      <c r="G28" s="163"/>
      <c r="H28" s="164"/>
      <c r="I28" s="161"/>
      <c r="J28" s="161"/>
    </row>
    <row r="29" spans="1:10" ht="144" customHeight="1" x14ac:dyDescent="0.55000000000000004">
      <c r="A29" s="161"/>
      <c r="B29" s="161"/>
      <c r="C29" s="161"/>
      <c r="D29" s="344">
        <v>2468</v>
      </c>
      <c r="E29" s="345">
        <v>100</v>
      </c>
      <c r="F29" s="345">
        <f t="shared" ref="F29:F34" si="1">+E29*D29</f>
        <v>246800</v>
      </c>
      <c r="G29" s="163"/>
      <c r="H29" s="164"/>
      <c r="I29" s="163"/>
      <c r="J29" s="161"/>
    </row>
    <row r="30" spans="1:10" ht="144" customHeight="1" x14ac:dyDescent="0.55000000000000004">
      <c r="A30" s="161"/>
      <c r="B30" s="161"/>
      <c r="C30" s="161"/>
      <c r="D30" s="344">
        <v>74</v>
      </c>
      <c r="E30" s="345">
        <v>50</v>
      </c>
      <c r="F30" s="345">
        <f t="shared" si="1"/>
        <v>3700</v>
      </c>
      <c r="G30" s="163"/>
      <c r="H30" s="164"/>
      <c r="I30" s="161"/>
      <c r="J30" s="161"/>
    </row>
    <row r="31" spans="1:10" ht="144" customHeight="1" x14ac:dyDescent="0.55000000000000004">
      <c r="A31" s="161"/>
      <c r="B31" s="161"/>
      <c r="C31" s="161"/>
      <c r="D31" s="344">
        <v>4</v>
      </c>
      <c r="E31" s="345">
        <v>20</v>
      </c>
      <c r="F31" s="345">
        <f t="shared" si="1"/>
        <v>80</v>
      </c>
      <c r="G31" s="163"/>
      <c r="H31" s="164"/>
      <c r="I31" s="161"/>
      <c r="J31" s="161"/>
    </row>
    <row r="32" spans="1:10" ht="144" customHeight="1" x14ac:dyDescent="0.55000000000000004">
      <c r="A32" s="161"/>
      <c r="B32" s="161"/>
      <c r="C32" s="161"/>
      <c r="D32" s="344">
        <v>28</v>
      </c>
      <c r="E32" s="345">
        <v>10</v>
      </c>
      <c r="F32" s="345">
        <f t="shared" si="1"/>
        <v>280</v>
      </c>
      <c r="G32" s="163"/>
      <c r="H32" s="164"/>
      <c r="I32" s="161"/>
      <c r="J32" s="161"/>
    </row>
    <row r="33" spans="1:10" ht="144" customHeight="1" x14ac:dyDescent="0.55000000000000004">
      <c r="A33" s="161"/>
      <c r="B33" s="161"/>
      <c r="C33" s="161"/>
      <c r="D33" s="344">
        <v>7</v>
      </c>
      <c r="E33" s="345">
        <v>5</v>
      </c>
      <c r="F33" s="345">
        <f t="shared" si="1"/>
        <v>35</v>
      </c>
      <c r="G33" s="163"/>
      <c r="H33" s="164"/>
      <c r="I33" s="161"/>
      <c r="J33" s="161"/>
    </row>
    <row r="34" spans="1:10" ht="144" customHeight="1" thickBot="1" x14ac:dyDescent="0.6">
      <c r="A34" s="161"/>
      <c r="B34" s="161"/>
      <c r="C34" s="161"/>
      <c r="D34" s="346">
        <v>3</v>
      </c>
      <c r="E34" s="347">
        <v>1</v>
      </c>
      <c r="F34" s="347">
        <f t="shared" si="1"/>
        <v>3</v>
      </c>
      <c r="G34" s="163"/>
      <c r="H34" s="164"/>
      <c r="I34" s="161"/>
      <c r="J34" s="161"/>
    </row>
    <row r="35" spans="1:10" ht="144" customHeight="1" x14ac:dyDescent="0.55000000000000004">
      <c r="A35" s="161"/>
      <c r="B35" s="161"/>
      <c r="C35" s="161"/>
      <c r="D35" s="348"/>
      <c r="E35" s="349" t="s">
        <v>283</v>
      </c>
      <c r="F35" s="350">
        <f>SUM(F28:F34)</f>
        <v>958098</v>
      </c>
      <c r="G35" s="163"/>
      <c r="H35" s="164"/>
      <c r="I35" s="161"/>
      <c r="J35" s="161"/>
    </row>
    <row r="36" spans="1:10" ht="144" customHeight="1" x14ac:dyDescent="0.55000000000000004">
      <c r="A36" s="161"/>
      <c r="B36" s="161"/>
      <c r="C36" s="161"/>
      <c r="D36" s="351"/>
      <c r="E36" s="352" t="s">
        <v>282</v>
      </c>
      <c r="F36" s="353">
        <f>C25</f>
        <v>958088</v>
      </c>
      <c r="G36" s="163"/>
      <c r="H36" s="164"/>
      <c r="I36" s="161"/>
      <c r="J36" s="161"/>
    </row>
    <row r="37" spans="1:10" ht="144" customHeight="1" thickBot="1" x14ac:dyDescent="0.6">
      <c r="A37" s="161"/>
      <c r="B37" s="161"/>
      <c r="C37" s="161"/>
      <c r="D37" s="354"/>
      <c r="E37" s="355" t="s">
        <v>284</v>
      </c>
      <c r="F37" s="356">
        <f>+F35-F36</f>
        <v>10</v>
      </c>
      <c r="G37" s="163"/>
      <c r="H37" s="164"/>
      <c r="I37" s="161"/>
      <c r="J37" s="161"/>
    </row>
  </sheetData>
  <mergeCells count="2">
    <mergeCell ref="D25:F25"/>
    <mergeCell ref="D26:F26"/>
  </mergeCells>
  <conditionalFormatting sqref="A1">
    <cfRule type="cellIs" dxfId="106" priority="3" operator="equal">
      <formula>#REF!</formula>
    </cfRule>
  </conditionalFormatting>
  <conditionalFormatting sqref="A2:A19 A23:A37">
    <cfRule type="cellIs" dxfId="105" priority="5" operator="equal">
      <formula>#REF!</formula>
    </cfRule>
  </conditionalFormatting>
  <conditionalFormatting sqref="A20:A22">
    <cfRule type="cellIs" dxfId="104" priority="1" operator="equal">
      <formula>#REF!</formula>
    </cfRule>
  </conditionalFormatting>
  <conditionalFormatting sqref="B1">
    <cfRule type="cellIs" dxfId="103" priority="2" operator="equal">
      <formula>#REF!</formula>
    </cfRule>
  </conditionalFormatting>
  <conditionalFormatting sqref="C2:D2">
    <cfRule type="duplicateValues" dxfId="102" priority="4"/>
  </conditionalFormatting>
  <printOptions horizontalCentered="1" verticalCentered="1"/>
  <pageMargins left="0" right="0" top="0" bottom="0" header="0" footer="0"/>
  <pageSetup paperSize="9" scale="11" orientation="landscape" blackAndWhite="1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J21"/>
  <sheetViews>
    <sheetView rightToLeft="1" view="pageBreakPreview" zoomScale="25" zoomScaleNormal="10" zoomScaleSheetLayoutView="25" workbookViewId="0">
      <pane ySplit="2" topLeftCell="A3" activePane="bottomLeft" state="frozen"/>
      <selection activeCell="I43" sqref="I43:I44"/>
      <selection pane="bottomLeft" activeCell="A4" sqref="A4:J5"/>
    </sheetView>
  </sheetViews>
  <sheetFormatPr defaultColWidth="42.85546875" defaultRowHeight="75" customHeight="1" x14ac:dyDescent="0.55000000000000004"/>
  <cols>
    <col min="1" max="1" width="50" style="334" customWidth="1"/>
    <col min="2" max="2" width="50.140625" style="334" bestFit="1" customWidth="1"/>
    <col min="3" max="4" width="56.140625" style="334" bestFit="1" customWidth="1"/>
    <col min="5" max="5" width="55.7109375" style="334" customWidth="1"/>
    <col min="6" max="6" width="60.7109375" style="334" customWidth="1"/>
    <col min="7" max="7" width="72.7109375" style="334" customWidth="1"/>
    <col min="8" max="8" width="88.28515625" style="334" customWidth="1"/>
    <col min="9" max="9" width="194.5703125" style="334" bestFit="1" customWidth="1"/>
    <col min="10" max="10" width="65.42578125" style="334" customWidth="1"/>
    <col min="11" max="16384" width="42.85546875" style="334"/>
  </cols>
  <sheetData>
    <row r="1" spans="1:10" ht="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376" customFormat="1" ht="186" customHeight="1" thickBot="1" x14ac:dyDescent="1.1000000000000001">
      <c r="A2" s="372" t="s">
        <v>132</v>
      </c>
      <c r="B2" s="373" t="s">
        <v>1</v>
      </c>
      <c r="C2" s="374" t="s">
        <v>86</v>
      </c>
      <c r="D2" s="374" t="s">
        <v>163</v>
      </c>
      <c r="E2" s="375" t="s">
        <v>2</v>
      </c>
      <c r="F2" s="375" t="s">
        <v>3</v>
      </c>
      <c r="G2" s="375" t="s">
        <v>4</v>
      </c>
      <c r="H2" s="374" t="s">
        <v>92</v>
      </c>
      <c r="I2" s="374" t="s">
        <v>6</v>
      </c>
      <c r="J2" s="374" t="s">
        <v>7</v>
      </c>
    </row>
    <row r="3" spans="1:10" ht="105" customHeight="1" x14ac:dyDescent="0.55000000000000004">
      <c r="A3" s="181"/>
      <c r="B3" s="200"/>
      <c r="C3" s="181"/>
      <c r="D3" s="181"/>
      <c r="E3" s="183"/>
      <c r="F3" s="183"/>
      <c r="G3" s="201">
        <v>958088</v>
      </c>
      <c r="H3" s="201" t="s">
        <v>129</v>
      </c>
      <c r="I3" s="181"/>
      <c r="J3" s="181"/>
    </row>
    <row r="4" spans="1:10" ht="144" customHeight="1" x14ac:dyDescent="0.55000000000000004">
      <c r="A4" s="359" t="s">
        <v>113</v>
      </c>
      <c r="B4" s="365">
        <v>45233</v>
      </c>
      <c r="C4" s="359"/>
      <c r="D4" s="359">
        <v>1227</v>
      </c>
      <c r="E4" s="383">
        <v>9000</v>
      </c>
      <c r="F4" s="383"/>
      <c r="G4" s="366">
        <f>G3+E4-F4</f>
        <v>967088</v>
      </c>
      <c r="H4" s="359" t="s">
        <v>552</v>
      </c>
      <c r="I4" s="359" t="s">
        <v>553</v>
      </c>
      <c r="J4" s="359"/>
    </row>
    <row r="5" spans="1:10" ht="144" customHeight="1" x14ac:dyDescent="0.55000000000000004">
      <c r="A5" s="360" t="s">
        <v>113</v>
      </c>
      <c r="B5" s="365">
        <v>45233</v>
      </c>
      <c r="C5" s="360"/>
      <c r="D5" s="360">
        <v>1228</v>
      </c>
      <c r="E5" s="186">
        <v>87000</v>
      </c>
      <c r="F5" s="186"/>
      <c r="G5" s="366">
        <f>G4+E5-F5</f>
        <v>1054088</v>
      </c>
      <c r="H5" s="369" t="s">
        <v>554</v>
      </c>
      <c r="I5" s="360" t="s">
        <v>555</v>
      </c>
      <c r="J5" s="360"/>
    </row>
    <row r="6" spans="1:10" ht="144" customHeight="1" thickBot="1" x14ac:dyDescent="0.6">
      <c r="A6" s="386"/>
      <c r="B6" s="387"/>
      <c r="C6" s="386"/>
      <c r="D6" s="386"/>
      <c r="E6" s="390"/>
      <c r="F6" s="388"/>
      <c r="G6" s="389"/>
      <c r="H6" s="391"/>
      <c r="I6" s="386"/>
      <c r="J6" s="386"/>
    </row>
    <row r="7" spans="1:10" ht="144" customHeight="1" thickTop="1" x14ac:dyDescent="0.55000000000000004">
      <c r="A7" s="170"/>
      <c r="B7" s="109" t="s">
        <v>127</v>
      </c>
      <c r="C7" s="110" t="s">
        <v>115</v>
      </c>
      <c r="D7" s="110" t="s">
        <v>179</v>
      </c>
      <c r="E7" s="110" t="s">
        <v>116</v>
      </c>
      <c r="F7" s="100" t="s">
        <v>180</v>
      </c>
      <c r="G7" s="111" t="s">
        <v>211</v>
      </c>
      <c r="H7" s="175"/>
      <c r="I7" s="340"/>
      <c r="J7" s="176"/>
    </row>
    <row r="8" spans="1:10" ht="144" customHeight="1" thickBot="1" x14ac:dyDescent="0.6">
      <c r="A8" s="161"/>
      <c r="B8" s="102">
        <f>$G$3</f>
        <v>958088</v>
      </c>
      <c r="C8" s="103">
        <f>SUMIF(A4:A5,B1,E4:E$5)</f>
        <v>96000</v>
      </c>
      <c r="D8" s="103">
        <f>SUMIF(A4:A5,B1,F4:$F$5)</f>
        <v>0</v>
      </c>
      <c r="E8" s="103">
        <f>SUMIF(A3:A5,A1,E3:$E$5)</f>
        <v>0</v>
      </c>
      <c r="F8" s="103">
        <f>SUMIF(A3:A5,A1,F3:$F$5)</f>
        <v>0</v>
      </c>
      <c r="G8" s="104">
        <f>+B8+C8+E8-D8-F8</f>
        <v>1054088</v>
      </c>
      <c r="H8" s="164"/>
      <c r="I8" s="180"/>
      <c r="J8" s="180"/>
    </row>
    <row r="9" spans="1:10" ht="144" customHeight="1" thickTop="1" x14ac:dyDescent="0.55000000000000004">
      <c r="A9" s="161"/>
      <c r="B9" s="161"/>
      <c r="C9" s="341">
        <f>+B8+C8-D8</f>
        <v>1054088</v>
      </c>
      <c r="D9" s="562" t="s">
        <v>181</v>
      </c>
      <c r="E9" s="562"/>
      <c r="F9" s="562"/>
      <c r="G9" s="163"/>
      <c r="H9" s="164"/>
      <c r="I9" s="161"/>
      <c r="J9" s="161"/>
    </row>
    <row r="10" spans="1:10" ht="144" customHeight="1" x14ac:dyDescent="0.55000000000000004">
      <c r="A10" s="161"/>
      <c r="B10" s="161"/>
      <c r="C10" s="342"/>
      <c r="D10" s="565" t="s">
        <v>278</v>
      </c>
      <c r="E10" s="565"/>
      <c r="F10" s="565"/>
      <c r="G10" s="163"/>
      <c r="H10" s="164"/>
      <c r="I10" s="161"/>
      <c r="J10" s="161"/>
    </row>
    <row r="11" spans="1:10" ht="144" customHeight="1" x14ac:dyDescent="0.55000000000000004">
      <c r="A11" s="161"/>
      <c r="B11" s="161"/>
      <c r="C11" s="342"/>
      <c r="D11" s="227" t="s">
        <v>279</v>
      </c>
      <c r="E11" s="227" t="s">
        <v>280</v>
      </c>
      <c r="F11" s="227" t="s">
        <v>281</v>
      </c>
      <c r="G11" s="163"/>
      <c r="H11" s="164"/>
      <c r="I11" s="161"/>
      <c r="J11" s="161"/>
    </row>
    <row r="12" spans="1:10" ht="144" customHeight="1" x14ac:dyDescent="0.55000000000000004">
      <c r="A12" s="161"/>
      <c r="B12" s="161"/>
      <c r="C12" s="161"/>
      <c r="D12" s="344">
        <v>3731</v>
      </c>
      <c r="E12" s="345">
        <v>200</v>
      </c>
      <c r="F12" s="345">
        <f>+E12*D12</f>
        <v>746200</v>
      </c>
      <c r="G12" s="163"/>
      <c r="H12" s="164"/>
      <c r="I12" s="161"/>
      <c r="J12" s="161"/>
    </row>
    <row r="13" spans="1:10" ht="144" customHeight="1" x14ac:dyDescent="0.55000000000000004">
      <c r="A13" s="161"/>
      <c r="B13" s="161"/>
      <c r="C13" s="161"/>
      <c r="D13" s="344">
        <v>3007</v>
      </c>
      <c r="E13" s="345">
        <v>100</v>
      </c>
      <c r="F13" s="345">
        <f t="shared" ref="F13:F18" si="0">+E13*D13</f>
        <v>300700</v>
      </c>
      <c r="G13" s="163"/>
      <c r="H13" s="164"/>
      <c r="I13" s="163"/>
      <c r="J13" s="161"/>
    </row>
    <row r="14" spans="1:10" ht="144" customHeight="1" x14ac:dyDescent="0.55000000000000004">
      <c r="A14" s="161"/>
      <c r="B14" s="161"/>
      <c r="C14" s="161"/>
      <c r="D14" s="344">
        <v>134</v>
      </c>
      <c r="E14" s="345">
        <v>50</v>
      </c>
      <c r="F14" s="345">
        <f t="shared" si="0"/>
        <v>6700</v>
      </c>
      <c r="G14" s="163"/>
      <c r="H14" s="164"/>
      <c r="I14" s="161"/>
      <c r="J14" s="161"/>
    </row>
    <row r="15" spans="1:10" ht="144" customHeight="1" x14ac:dyDescent="0.55000000000000004">
      <c r="A15" s="161"/>
      <c r="B15" s="161"/>
      <c r="C15" s="161"/>
      <c r="D15" s="344">
        <v>4</v>
      </c>
      <c r="E15" s="345">
        <v>20</v>
      </c>
      <c r="F15" s="345">
        <f t="shared" si="0"/>
        <v>80</v>
      </c>
      <c r="G15" s="163"/>
      <c r="H15" s="164"/>
      <c r="I15" s="161"/>
      <c r="J15" s="161"/>
    </row>
    <row r="16" spans="1:10" ht="144" customHeight="1" x14ac:dyDescent="0.55000000000000004">
      <c r="A16" s="161"/>
      <c r="B16" s="161"/>
      <c r="C16" s="161"/>
      <c r="D16" s="344">
        <v>36</v>
      </c>
      <c r="E16" s="345">
        <v>10</v>
      </c>
      <c r="F16" s="345">
        <f t="shared" si="0"/>
        <v>360</v>
      </c>
      <c r="G16" s="163"/>
      <c r="H16" s="164"/>
      <c r="I16" s="161"/>
      <c r="J16" s="161"/>
    </row>
    <row r="17" spans="1:10" ht="144" customHeight="1" x14ac:dyDescent="0.55000000000000004">
      <c r="A17" s="161"/>
      <c r="B17" s="161"/>
      <c r="C17" s="161"/>
      <c r="D17" s="344">
        <v>7</v>
      </c>
      <c r="E17" s="345">
        <v>5</v>
      </c>
      <c r="F17" s="345">
        <f t="shared" si="0"/>
        <v>35</v>
      </c>
      <c r="G17" s="163"/>
      <c r="H17" s="164"/>
      <c r="I17" s="161"/>
      <c r="J17" s="161"/>
    </row>
    <row r="18" spans="1:10" ht="144" customHeight="1" thickBot="1" x14ac:dyDescent="0.6">
      <c r="A18" s="161"/>
      <c r="B18" s="161"/>
      <c r="C18" s="161"/>
      <c r="D18" s="346">
        <v>3</v>
      </c>
      <c r="E18" s="347">
        <v>1</v>
      </c>
      <c r="F18" s="347">
        <f t="shared" si="0"/>
        <v>3</v>
      </c>
      <c r="G18" s="163"/>
      <c r="H18" s="164"/>
      <c r="I18" s="161"/>
      <c r="J18" s="161"/>
    </row>
    <row r="19" spans="1:10" ht="144" customHeight="1" x14ac:dyDescent="0.55000000000000004">
      <c r="A19" s="161"/>
      <c r="B19" s="161"/>
      <c r="C19" s="161"/>
      <c r="D19" s="348"/>
      <c r="E19" s="349" t="s">
        <v>283</v>
      </c>
      <c r="F19" s="350">
        <f>SUM(F12:F18)</f>
        <v>1054078</v>
      </c>
      <c r="G19" s="163"/>
      <c r="H19" s="164"/>
      <c r="I19" s="161"/>
      <c r="J19" s="161"/>
    </row>
    <row r="20" spans="1:10" ht="144" customHeight="1" x14ac:dyDescent="0.55000000000000004">
      <c r="A20" s="161"/>
      <c r="B20" s="161"/>
      <c r="C20" s="161"/>
      <c r="D20" s="351"/>
      <c r="E20" s="352" t="s">
        <v>282</v>
      </c>
      <c r="F20" s="353">
        <f>C9</f>
        <v>1054088</v>
      </c>
      <c r="G20" s="163"/>
      <c r="H20" s="164"/>
      <c r="I20" s="161"/>
      <c r="J20" s="161"/>
    </row>
    <row r="21" spans="1:10" ht="144" customHeight="1" thickBot="1" x14ac:dyDescent="0.6">
      <c r="A21" s="161"/>
      <c r="B21" s="161"/>
      <c r="C21" s="161"/>
      <c r="D21" s="354"/>
      <c r="E21" s="355" t="s">
        <v>284</v>
      </c>
      <c r="F21" s="356">
        <f>+F19-F20</f>
        <v>-10</v>
      </c>
      <c r="G21" s="163"/>
      <c r="H21" s="164"/>
      <c r="I21" s="161"/>
      <c r="J21" s="161"/>
    </row>
  </sheetData>
  <mergeCells count="2">
    <mergeCell ref="D9:F9"/>
    <mergeCell ref="D10:F10"/>
  </mergeCells>
  <conditionalFormatting sqref="A1">
    <cfRule type="cellIs" dxfId="101" priority="3" operator="equal">
      <formula>#REF!</formula>
    </cfRule>
  </conditionalFormatting>
  <conditionalFormatting sqref="A2:A21">
    <cfRule type="cellIs" dxfId="100" priority="5" operator="equal">
      <formula>#REF!</formula>
    </cfRule>
  </conditionalFormatting>
  <conditionalFormatting sqref="B1">
    <cfRule type="cellIs" dxfId="99" priority="2" operator="equal">
      <formula>#REF!</formula>
    </cfRule>
  </conditionalFormatting>
  <conditionalFormatting sqref="C2:D2">
    <cfRule type="duplicateValues" dxfId="98" priority="4"/>
  </conditionalFormatting>
  <printOptions horizontalCentered="1" verticalCentered="1"/>
  <pageMargins left="0" right="0" top="0" bottom="0" header="0" footer="0"/>
  <pageSetup paperSize="9" scale="19" orientation="landscape" blackAndWhite="1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J41"/>
  <sheetViews>
    <sheetView rightToLeft="1" view="pageBreakPreview" topLeftCell="A2" zoomScale="20" zoomScaleNormal="10" zoomScaleSheetLayoutView="20" workbookViewId="0">
      <pane xSplit="1" ySplit="1" topLeftCell="B3" activePane="bottomRight" state="frozen"/>
      <selection activeCell="A2" sqref="A2"/>
      <selection pane="topRight" activeCell="B2" sqref="B2"/>
      <selection pane="bottomLeft" activeCell="A3" sqref="A3"/>
      <selection pane="bottomRight" activeCell="A4" sqref="A4:J25"/>
    </sheetView>
  </sheetViews>
  <sheetFormatPr defaultColWidth="42.85546875" defaultRowHeight="75" customHeight="1" x14ac:dyDescent="0.55000000000000004"/>
  <cols>
    <col min="1" max="1" width="50" style="334" customWidth="1"/>
    <col min="2" max="2" width="56.140625" style="334" bestFit="1" customWidth="1"/>
    <col min="3" max="3" width="73.85546875" style="334" bestFit="1" customWidth="1"/>
    <col min="4" max="4" width="64.42578125" style="334" bestFit="1" customWidth="1"/>
    <col min="5" max="5" width="64.42578125" style="334" customWidth="1"/>
    <col min="6" max="6" width="72" style="334" customWidth="1"/>
    <col min="7" max="7" width="87.28515625" style="334" bestFit="1" customWidth="1"/>
    <col min="8" max="8" width="88.28515625" style="334" customWidth="1"/>
    <col min="9" max="9" width="194.5703125" style="334" bestFit="1" customWidth="1"/>
    <col min="10" max="10" width="65.42578125" style="334" customWidth="1"/>
    <col min="11" max="16384" width="42.85546875" style="334"/>
  </cols>
  <sheetData>
    <row r="1" spans="1:10" ht="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376" customFormat="1" ht="186" customHeight="1" thickBot="1" x14ac:dyDescent="1.1000000000000001">
      <c r="A2" s="372" t="s">
        <v>132</v>
      </c>
      <c r="B2" s="373" t="s">
        <v>1</v>
      </c>
      <c r="C2" s="374" t="s">
        <v>86</v>
      </c>
      <c r="D2" s="374" t="s">
        <v>163</v>
      </c>
      <c r="E2" s="375" t="s">
        <v>2</v>
      </c>
      <c r="F2" s="375" t="s">
        <v>3</v>
      </c>
      <c r="G2" s="375" t="s">
        <v>4</v>
      </c>
      <c r="H2" s="374" t="s">
        <v>92</v>
      </c>
      <c r="I2" s="374" t="s">
        <v>6</v>
      </c>
      <c r="J2" s="374" t="s">
        <v>7</v>
      </c>
    </row>
    <row r="3" spans="1:10" ht="105" customHeight="1" x14ac:dyDescent="0.55000000000000004">
      <c r="A3" s="181"/>
      <c r="B3" s="200"/>
      <c r="C3" s="181"/>
      <c r="D3" s="181"/>
      <c r="E3" s="183"/>
      <c r="F3" s="183"/>
      <c r="G3" s="201">
        <v>1054088</v>
      </c>
      <c r="H3" s="201" t="s">
        <v>129</v>
      </c>
      <c r="I3" s="181"/>
      <c r="J3" s="181"/>
    </row>
    <row r="4" spans="1:10" ht="144" customHeight="1" x14ac:dyDescent="0.55000000000000004">
      <c r="A4" s="359" t="s">
        <v>113</v>
      </c>
      <c r="B4" s="365">
        <v>45234</v>
      </c>
      <c r="C4" s="392"/>
      <c r="D4" s="395">
        <v>1229</v>
      </c>
      <c r="E4" s="396">
        <v>1000000</v>
      </c>
      <c r="F4" s="393"/>
      <c r="G4" s="394">
        <f>G3+E4-F4</f>
        <v>2054088</v>
      </c>
      <c r="H4" s="392" t="s">
        <v>441</v>
      </c>
      <c r="I4" s="395" t="s">
        <v>558</v>
      </c>
      <c r="J4" s="359"/>
    </row>
    <row r="5" spans="1:10" ht="144" customHeight="1" x14ac:dyDescent="0.55000000000000004">
      <c r="A5" s="359" t="s">
        <v>113</v>
      </c>
      <c r="B5" s="365">
        <v>45234</v>
      </c>
      <c r="C5" s="359">
        <v>1737</v>
      </c>
      <c r="D5" s="359"/>
      <c r="E5" s="383"/>
      <c r="F5" s="383">
        <v>85240</v>
      </c>
      <c r="G5" s="366">
        <f t="shared" ref="G5:G25" si="0">G4+E5-F5</f>
        <v>1968848</v>
      </c>
      <c r="H5" s="359" t="s">
        <v>152</v>
      </c>
      <c r="I5" s="359" t="s">
        <v>599</v>
      </c>
      <c r="J5" s="359"/>
    </row>
    <row r="6" spans="1:10" ht="144" customHeight="1" x14ac:dyDescent="0.55000000000000004">
      <c r="A6" s="359" t="s">
        <v>113</v>
      </c>
      <c r="B6" s="365">
        <v>45234</v>
      </c>
      <c r="C6" s="359">
        <v>1738</v>
      </c>
      <c r="D6" s="359"/>
      <c r="E6" s="383"/>
      <c r="F6" s="383">
        <v>9300</v>
      </c>
      <c r="G6" s="366">
        <f t="shared" si="0"/>
        <v>1959548</v>
      </c>
      <c r="H6" s="359" t="s">
        <v>154</v>
      </c>
      <c r="I6" s="359" t="s">
        <v>600</v>
      </c>
      <c r="J6" s="359"/>
    </row>
    <row r="7" spans="1:10" ht="144" customHeight="1" x14ac:dyDescent="0.55000000000000004">
      <c r="A7" s="359" t="s">
        <v>113</v>
      </c>
      <c r="B7" s="365">
        <v>45234</v>
      </c>
      <c r="C7" s="395">
        <v>1739</v>
      </c>
      <c r="D7" s="392"/>
      <c r="E7" s="393"/>
      <c r="F7" s="396">
        <v>1000000</v>
      </c>
      <c r="G7" s="394">
        <f t="shared" si="0"/>
        <v>959548</v>
      </c>
      <c r="H7" s="392" t="s">
        <v>311</v>
      </c>
      <c r="I7" s="395" t="s">
        <v>560</v>
      </c>
      <c r="J7" s="359"/>
    </row>
    <row r="8" spans="1:10" ht="144" customHeight="1" x14ac:dyDescent="0.55000000000000004">
      <c r="A8" s="359" t="s">
        <v>113</v>
      </c>
      <c r="B8" s="365">
        <v>45234</v>
      </c>
      <c r="C8" s="359">
        <v>1740</v>
      </c>
      <c r="D8" s="359"/>
      <c r="E8" s="383"/>
      <c r="F8" s="383">
        <v>72000</v>
      </c>
      <c r="G8" s="366">
        <f t="shared" si="0"/>
        <v>887548</v>
      </c>
      <c r="H8" s="359" t="s">
        <v>199</v>
      </c>
      <c r="I8" s="359" t="s">
        <v>561</v>
      </c>
      <c r="J8" s="359"/>
    </row>
    <row r="9" spans="1:10" ht="144" customHeight="1" x14ac:dyDescent="0.55000000000000004">
      <c r="A9" s="359" t="s">
        <v>113</v>
      </c>
      <c r="B9" s="365">
        <v>45234</v>
      </c>
      <c r="C9" s="392"/>
      <c r="D9" s="392"/>
      <c r="E9" s="393">
        <v>23800</v>
      </c>
      <c r="F9" s="393"/>
      <c r="G9" s="394">
        <f t="shared" si="0"/>
        <v>911348</v>
      </c>
      <c r="H9" s="392" t="s">
        <v>562</v>
      </c>
      <c r="I9" s="392" t="s">
        <v>564</v>
      </c>
      <c r="J9" s="359"/>
    </row>
    <row r="10" spans="1:10" ht="144" customHeight="1" x14ac:dyDescent="0.55000000000000004">
      <c r="A10" s="359" t="s">
        <v>113</v>
      </c>
      <c r="B10" s="365">
        <v>45234</v>
      </c>
      <c r="C10" s="392">
        <v>1741</v>
      </c>
      <c r="D10" s="392"/>
      <c r="E10" s="393"/>
      <c r="F10" s="393">
        <v>23800</v>
      </c>
      <c r="G10" s="394">
        <f t="shared" si="0"/>
        <v>887548</v>
      </c>
      <c r="H10" s="392" t="s">
        <v>233</v>
      </c>
      <c r="I10" s="392" t="s">
        <v>563</v>
      </c>
      <c r="J10" s="359"/>
    </row>
    <row r="11" spans="1:10" ht="144" customHeight="1" x14ac:dyDescent="0.55000000000000004">
      <c r="A11" s="359" t="s">
        <v>113</v>
      </c>
      <c r="B11" s="365">
        <v>45234</v>
      </c>
      <c r="C11" s="359">
        <v>1742</v>
      </c>
      <c r="D11" s="359"/>
      <c r="E11" s="383"/>
      <c r="F11" s="383">
        <v>2750</v>
      </c>
      <c r="G11" s="366">
        <f t="shared" si="0"/>
        <v>884798</v>
      </c>
      <c r="H11" s="359" t="s">
        <v>538</v>
      </c>
      <c r="I11" s="359" t="s">
        <v>565</v>
      </c>
      <c r="J11" s="359"/>
    </row>
    <row r="12" spans="1:10" ht="144" customHeight="1" x14ac:dyDescent="0.55000000000000004">
      <c r="A12" s="359" t="s">
        <v>113</v>
      </c>
      <c r="B12" s="365">
        <v>45234</v>
      </c>
      <c r="C12" s="359"/>
      <c r="D12" s="359">
        <v>1230</v>
      </c>
      <c r="E12" s="383">
        <v>10000</v>
      </c>
      <c r="F12" s="383"/>
      <c r="G12" s="366">
        <f t="shared" si="0"/>
        <v>894798</v>
      </c>
      <c r="H12" s="359" t="s">
        <v>566</v>
      </c>
      <c r="I12" s="359" t="s">
        <v>567</v>
      </c>
      <c r="J12" s="359"/>
    </row>
    <row r="13" spans="1:10" ht="144" customHeight="1" x14ac:dyDescent="0.55000000000000004">
      <c r="A13" s="359" t="s">
        <v>113</v>
      </c>
      <c r="B13" s="365">
        <v>45234</v>
      </c>
      <c r="C13" s="359">
        <v>1743</v>
      </c>
      <c r="D13" s="359"/>
      <c r="E13" s="383"/>
      <c r="F13" s="383">
        <v>200</v>
      </c>
      <c r="G13" s="366">
        <f t="shared" si="0"/>
        <v>894598</v>
      </c>
      <c r="H13" s="359" t="s">
        <v>117</v>
      </c>
      <c r="I13" s="359" t="s">
        <v>568</v>
      </c>
      <c r="J13" s="359"/>
    </row>
    <row r="14" spans="1:10" ht="144" customHeight="1" x14ac:dyDescent="0.55000000000000004">
      <c r="A14" s="359" t="s">
        <v>113</v>
      </c>
      <c r="B14" s="365">
        <v>45234</v>
      </c>
      <c r="C14" s="359">
        <v>1744</v>
      </c>
      <c r="D14" s="359"/>
      <c r="E14" s="383"/>
      <c r="F14" s="383">
        <v>1000</v>
      </c>
      <c r="G14" s="366">
        <f t="shared" si="0"/>
        <v>893598</v>
      </c>
      <c r="H14" s="359" t="s">
        <v>569</v>
      </c>
      <c r="I14" s="359" t="s">
        <v>570</v>
      </c>
      <c r="J14" s="359"/>
    </row>
    <row r="15" spans="1:10" ht="144" customHeight="1" x14ac:dyDescent="0.55000000000000004">
      <c r="A15" s="359" t="s">
        <v>113</v>
      </c>
      <c r="B15" s="365">
        <v>45234</v>
      </c>
      <c r="C15" s="359">
        <v>1745</v>
      </c>
      <c r="D15" s="359"/>
      <c r="E15" s="383"/>
      <c r="F15" s="383">
        <v>2800</v>
      </c>
      <c r="G15" s="366">
        <f t="shared" si="0"/>
        <v>890798</v>
      </c>
      <c r="H15" s="359" t="s">
        <v>308</v>
      </c>
      <c r="I15" s="359" t="s">
        <v>571</v>
      </c>
      <c r="J15" s="359"/>
    </row>
    <row r="16" spans="1:10" ht="144" customHeight="1" x14ac:dyDescent="0.55000000000000004">
      <c r="A16" s="359" t="s">
        <v>113</v>
      </c>
      <c r="B16" s="365">
        <v>45234</v>
      </c>
      <c r="C16" s="359">
        <v>1746</v>
      </c>
      <c r="D16" s="359"/>
      <c r="E16" s="383"/>
      <c r="F16" s="383">
        <v>250000</v>
      </c>
      <c r="G16" s="366">
        <f t="shared" si="0"/>
        <v>640798</v>
      </c>
      <c r="H16" s="359" t="s">
        <v>572</v>
      </c>
      <c r="I16" s="359" t="s">
        <v>573</v>
      </c>
      <c r="J16" s="359"/>
    </row>
    <row r="17" spans="1:10" ht="144" customHeight="1" x14ac:dyDescent="0.55000000000000004">
      <c r="A17" s="359" t="s">
        <v>113</v>
      </c>
      <c r="B17" s="365">
        <v>45234</v>
      </c>
      <c r="C17" s="359">
        <v>1747</v>
      </c>
      <c r="D17" s="359"/>
      <c r="E17" s="383"/>
      <c r="F17" s="383">
        <v>5000</v>
      </c>
      <c r="G17" s="366">
        <f t="shared" si="0"/>
        <v>635798</v>
      </c>
      <c r="H17" s="359" t="s">
        <v>544</v>
      </c>
      <c r="I17" s="359" t="s">
        <v>574</v>
      </c>
      <c r="J17" s="359"/>
    </row>
    <row r="18" spans="1:10" ht="144" customHeight="1" x14ac:dyDescent="0.55000000000000004">
      <c r="A18" s="359" t="s">
        <v>113</v>
      </c>
      <c r="B18" s="365">
        <v>45234</v>
      </c>
      <c r="C18" s="359">
        <v>1748</v>
      </c>
      <c r="D18" s="359"/>
      <c r="E18" s="383"/>
      <c r="F18" s="383">
        <v>2295</v>
      </c>
      <c r="G18" s="366">
        <f t="shared" si="0"/>
        <v>633503</v>
      </c>
      <c r="H18" s="359" t="s">
        <v>72</v>
      </c>
      <c r="I18" s="359" t="s">
        <v>575</v>
      </c>
      <c r="J18" s="359"/>
    </row>
    <row r="19" spans="1:10" ht="144" customHeight="1" x14ac:dyDescent="0.55000000000000004">
      <c r="A19" s="359" t="s">
        <v>113</v>
      </c>
      <c r="B19" s="365">
        <v>45234</v>
      </c>
      <c r="C19" s="359"/>
      <c r="D19" s="359">
        <v>1231</v>
      </c>
      <c r="E19" s="383">
        <v>440000</v>
      </c>
      <c r="F19" s="383"/>
      <c r="G19" s="366">
        <f t="shared" si="0"/>
        <v>1073503</v>
      </c>
      <c r="H19" s="359" t="s">
        <v>576</v>
      </c>
      <c r="I19" s="359" t="s">
        <v>577</v>
      </c>
      <c r="J19" s="359"/>
    </row>
    <row r="20" spans="1:10" ht="144" customHeight="1" x14ac:dyDescent="0.55000000000000004">
      <c r="A20" s="359" t="s">
        <v>113</v>
      </c>
      <c r="B20" s="365">
        <v>45234</v>
      </c>
      <c r="C20" s="359"/>
      <c r="D20" s="359">
        <v>1232</v>
      </c>
      <c r="E20" s="383">
        <v>15000</v>
      </c>
      <c r="F20" s="383"/>
      <c r="G20" s="366">
        <f t="shared" si="0"/>
        <v>1088503</v>
      </c>
      <c r="H20" s="359" t="s">
        <v>105</v>
      </c>
      <c r="I20" s="359" t="s">
        <v>578</v>
      </c>
      <c r="J20" s="359"/>
    </row>
    <row r="21" spans="1:10" ht="144" customHeight="1" x14ac:dyDescent="0.55000000000000004">
      <c r="A21" s="359" t="s">
        <v>113</v>
      </c>
      <c r="B21" s="365">
        <v>45234</v>
      </c>
      <c r="C21" s="359"/>
      <c r="D21" s="359">
        <v>1233</v>
      </c>
      <c r="E21" s="383">
        <v>66000</v>
      </c>
      <c r="F21" s="383"/>
      <c r="G21" s="366">
        <f t="shared" si="0"/>
        <v>1154503</v>
      </c>
      <c r="H21" s="359" t="s">
        <v>579</v>
      </c>
      <c r="I21" s="359" t="s">
        <v>580</v>
      </c>
      <c r="J21" s="359"/>
    </row>
    <row r="22" spans="1:10" ht="144" customHeight="1" x14ac:dyDescent="0.55000000000000004">
      <c r="A22" s="359" t="s">
        <v>113</v>
      </c>
      <c r="B22" s="365">
        <v>45234</v>
      </c>
      <c r="C22" s="359"/>
      <c r="D22" s="359"/>
      <c r="E22" s="383">
        <v>1675</v>
      </c>
      <c r="F22" s="383"/>
      <c r="G22" s="366">
        <f t="shared" si="0"/>
        <v>1156178</v>
      </c>
      <c r="H22" s="359" t="s">
        <v>83</v>
      </c>
      <c r="I22" s="359" t="s">
        <v>581</v>
      </c>
      <c r="J22" s="359"/>
    </row>
    <row r="23" spans="1:10" ht="144" customHeight="1" x14ac:dyDescent="0.55000000000000004">
      <c r="A23" s="359" t="s">
        <v>113</v>
      </c>
      <c r="B23" s="365">
        <v>45234</v>
      </c>
      <c r="C23" s="359"/>
      <c r="D23" s="359"/>
      <c r="E23" s="383">
        <v>3060</v>
      </c>
      <c r="F23" s="383"/>
      <c r="G23" s="366">
        <f t="shared" si="0"/>
        <v>1159238</v>
      </c>
      <c r="H23" s="359" t="s">
        <v>83</v>
      </c>
      <c r="I23" s="359" t="s">
        <v>582</v>
      </c>
      <c r="J23" s="359"/>
    </row>
    <row r="24" spans="1:10" ht="144" customHeight="1" x14ac:dyDescent="0.55000000000000004">
      <c r="A24" s="359" t="s">
        <v>113</v>
      </c>
      <c r="B24" s="365">
        <v>45234</v>
      </c>
      <c r="C24" s="359"/>
      <c r="D24" s="359"/>
      <c r="E24" s="383">
        <v>3012</v>
      </c>
      <c r="F24" s="383"/>
      <c r="G24" s="366">
        <f t="shared" si="0"/>
        <v>1162250</v>
      </c>
      <c r="H24" s="359" t="s">
        <v>83</v>
      </c>
      <c r="I24" s="359" t="s">
        <v>583</v>
      </c>
      <c r="J24" s="359"/>
    </row>
    <row r="25" spans="1:10" ht="144" customHeight="1" x14ac:dyDescent="0.55000000000000004">
      <c r="A25" s="359" t="s">
        <v>113</v>
      </c>
      <c r="B25" s="365">
        <v>45234</v>
      </c>
      <c r="C25" s="360"/>
      <c r="D25" s="360"/>
      <c r="E25" s="186"/>
      <c r="F25" s="397"/>
      <c r="G25" s="366">
        <f t="shared" si="0"/>
        <v>1162250</v>
      </c>
      <c r="H25" s="381"/>
      <c r="I25" s="360"/>
      <c r="J25" s="360"/>
    </row>
    <row r="26" spans="1:10" ht="144" customHeight="1" thickBot="1" x14ac:dyDescent="0.6">
      <c r="A26" s="386"/>
      <c r="B26" s="387"/>
      <c r="C26" s="386"/>
      <c r="D26" s="386"/>
      <c r="E26" s="390"/>
      <c r="F26" s="388"/>
      <c r="G26" s="389"/>
      <c r="H26" s="391"/>
      <c r="I26" s="386"/>
      <c r="J26" s="386"/>
    </row>
    <row r="27" spans="1:10" ht="144" customHeight="1" thickTop="1" x14ac:dyDescent="0.55000000000000004">
      <c r="A27" s="170"/>
      <c r="B27" s="109" t="s">
        <v>127</v>
      </c>
      <c r="C27" s="110" t="s">
        <v>115</v>
      </c>
      <c r="D27" s="110" t="s">
        <v>179</v>
      </c>
      <c r="E27" s="110" t="s">
        <v>116</v>
      </c>
      <c r="F27" s="100" t="s">
        <v>180</v>
      </c>
      <c r="G27" s="111" t="s">
        <v>211</v>
      </c>
      <c r="H27" s="175"/>
      <c r="I27" s="340"/>
      <c r="J27" s="176"/>
    </row>
    <row r="28" spans="1:10" ht="144" customHeight="1" thickBot="1" x14ac:dyDescent="0.6">
      <c r="A28" s="161"/>
      <c r="B28" s="102">
        <f>$G$3</f>
        <v>1054088</v>
      </c>
      <c r="C28" s="103">
        <f>SUMIF(A4:A25,B1,E4:E$25)</f>
        <v>1562547</v>
      </c>
      <c r="D28" s="103">
        <f>SUMIF(A4:A25,B1,F4:$F$25)</f>
        <v>1454385</v>
      </c>
      <c r="E28" s="103">
        <f>SUMIF(A3:A25,A1,E3:$E$25)</f>
        <v>0</v>
      </c>
      <c r="F28" s="103">
        <f>SUMIF(A3:A25,A1,F3:$F$25)</f>
        <v>0</v>
      </c>
      <c r="G28" s="104">
        <f>+B28+C28+E28-D28-F28</f>
        <v>1162250</v>
      </c>
      <c r="H28" s="164"/>
      <c r="I28" s="180"/>
      <c r="J28" s="180"/>
    </row>
    <row r="29" spans="1:10" ht="144" customHeight="1" thickTop="1" x14ac:dyDescent="0.55000000000000004">
      <c r="A29" s="161"/>
      <c r="B29" s="161"/>
      <c r="C29" s="251">
        <f>+B28+C28-D28</f>
        <v>1162250</v>
      </c>
      <c r="D29" s="564" t="s">
        <v>181</v>
      </c>
      <c r="E29" s="564"/>
      <c r="F29" s="564"/>
      <c r="G29" s="163"/>
      <c r="H29" s="164"/>
      <c r="I29" s="161"/>
      <c r="J29" s="161"/>
    </row>
    <row r="30" spans="1:10" ht="144" customHeight="1" x14ac:dyDescent="0.55000000000000004">
      <c r="A30" s="161"/>
      <c r="B30" s="161"/>
      <c r="C30" s="342"/>
      <c r="D30" s="565" t="s">
        <v>278</v>
      </c>
      <c r="E30" s="565"/>
      <c r="F30" s="565"/>
      <c r="G30" s="163"/>
      <c r="H30" s="164"/>
      <c r="I30" s="161"/>
      <c r="J30" s="161"/>
    </row>
    <row r="31" spans="1:10" ht="144" customHeight="1" x14ac:dyDescent="0.55000000000000004">
      <c r="A31" s="161"/>
      <c r="B31" s="161"/>
      <c r="C31" s="342"/>
      <c r="D31" s="227" t="s">
        <v>279</v>
      </c>
      <c r="E31" s="227" t="s">
        <v>280</v>
      </c>
      <c r="F31" s="227" t="s">
        <v>281</v>
      </c>
      <c r="G31" s="163"/>
      <c r="H31" s="164"/>
      <c r="I31" s="161"/>
      <c r="J31" s="161"/>
    </row>
    <row r="32" spans="1:10" ht="144" customHeight="1" x14ac:dyDescent="0.55000000000000004">
      <c r="A32" s="161"/>
      <c r="B32" s="161"/>
      <c r="C32" s="161"/>
      <c r="D32" s="215">
        <f>3500+100+90+10</f>
        <v>3700</v>
      </c>
      <c r="E32" s="216">
        <v>200</v>
      </c>
      <c r="F32" s="216">
        <f>+E32*D32</f>
        <v>740000</v>
      </c>
      <c r="G32" s="163"/>
      <c r="H32" s="164"/>
      <c r="I32" s="161"/>
      <c r="J32" s="161"/>
    </row>
    <row r="33" spans="1:10" ht="144" customHeight="1" x14ac:dyDescent="0.55000000000000004">
      <c r="A33" s="161"/>
      <c r="B33" s="161"/>
      <c r="C33" s="161"/>
      <c r="D33" s="215">
        <f>4192-28+10</f>
        <v>4174</v>
      </c>
      <c r="E33" s="216">
        <v>100</v>
      </c>
      <c r="F33" s="216">
        <f t="shared" ref="F33:F38" si="1">+E33*D33</f>
        <v>417400</v>
      </c>
      <c r="G33" s="163"/>
      <c r="H33" s="164"/>
      <c r="I33" s="163"/>
      <c r="J33" s="161"/>
    </row>
    <row r="34" spans="1:10" ht="144" customHeight="1" x14ac:dyDescent="0.55000000000000004">
      <c r="A34" s="161"/>
      <c r="B34" s="161"/>
      <c r="C34" s="161"/>
      <c r="D34" s="215">
        <v>75</v>
      </c>
      <c r="E34" s="216">
        <v>50</v>
      </c>
      <c r="F34" s="216">
        <f t="shared" si="1"/>
        <v>3750</v>
      </c>
      <c r="G34" s="163"/>
      <c r="H34" s="164"/>
      <c r="I34" s="161"/>
      <c r="J34" s="161"/>
    </row>
    <row r="35" spans="1:10" ht="144" customHeight="1" x14ac:dyDescent="0.55000000000000004">
      <c r="A35" s="161"/>
      <c r="B35" s="161"/>
      <c r="C35" s="161"/>
      <c r="D35" s="215">
        <v>7</v>
      </c>
      <c r="E35" s="216">
        <v>20</v>
      </c>
      <c r="F35" s="216">
        <f t="shared" si="1"/>
        <v>140</v>
      </c>
      <c r="G35" s="163"/>
      <c r="H35" s="164"/>
      <c r="I35" s="161"/>
      <c r="J35" s="161"/>
    </row>
    <row r="36" spans="1:10" ht="144" customHeight="1" x14ac:dyDescent="0.55000000000000004">
      <c r="A36" s="161"/>
      <c r="B36" s="161"/>
      <c r="C36" s="161"/>
      <c r="D36" s="215">
        <v>80</v>
      </c>
      <c r="E36" s="216">
        <v>10</v>
      </c>
      <c r="F36" s="216">
        <f t="shared" si="1"/>
        <v>800</v>
      </c>
      <c r="G36" s="163"/>
      <c r="H36" s="164"/>
      <c r="I36" s="161"/>
      <c r="J36" s="161"/>
    </row>
    <row r="37" spans="1:10" ht="144" customHeight="1" x14ac:dyDescent="0.55000000000000004">
      <c r="A37" s="161"/>
      <c r="B37" s="161"/>
      <c r="C37" s="161"/>
      <c r="D37" s="215">
        <v>33</v>
      </c>
      <c r="E37" s="216">
        <v>5</v>
      </c>
      <c r="F37" s="216">
        <f t="shared" si="1"/>
        <v>165</v>
      </c>
      <c r="G37" s="163"/>
      <c r="H37" s="164"/>
      <c r="I37" s="161"/>
      <c r="J37" s="161"/>
    </row>
    <row r="38" spans="1:10" ht="144" customHeight="1" thickBot="1" x14ac:dyDescent="0.6">
      <c r="A38" s="161"/>
      <c r="B38" s="161"/>
      <c r="C38" s="161"/>
      <c r="D38" s="229">
        <v>5</v>
      </c>
      <c r="E38" s="230">
        <v>1</v>
      </c>
      <c r="F38" s="230">
        <f t="shared" si="1"/>
        <v>5</v>
      </c>
      <c r="G38" s="163"/>
      <c r="H38" s="164"/>
      <c r="I38" s="161"/>
      <c r="J38" s="161"/>
    </row>
    <row r="39" spans="1:10" ht="144" customHeight="1" x14ac:dyDescent="0.55000000000000004">
      <c r="A39" s="161"/>
      <c r="B39" s="161"/>
      <c r="C39" s="161"/>
      <c r="D39" s="231"/>
      <c r="E39" s="232" t="s">
        <v>283</v>
      </c>
      <c r="F39" s="233">
        <f>SUM(F32:F38)</f>
        <v>1162260</v>
      </c>
      <c r="G39" s="163"/>
      <c r="H39" s="164"/>
      <c r="I39" s="161"/>
      <c r="J39" s="161"/>
    </row>
    <row r="40" spans="1:10" ht="144" customHeight="1" x14ac:dyDescent="0.55000000000000004">
      <c r="A40" s="161"/>
      <c r="B40" s="161"/>
      <c r="C40" s="161"/>
      <c r="D40" s="234"/>
      <c r="E40" s="228" t="s">
        <v>282</v>
      </c>
      <c r="F40" s="235">
        <f>C29</f>
        <v>1162250</v>
      </c>
      <c r="G40" s="163"/>
      <c r="H40" s="164"/>
      <c r="I40" s="161"/>
      <c r="J40" s="161"/>
    </row>
    <row r="41" spans="1:10" ht="144" customHeight="1" thickBot="1" x14ac:dyDescent="0.6">
      <c r="A41" s="161"/>
      <c r="B41" s="161"/>
      <c r="C41" s="161"/>
      <c r="D41" s="236"/>
      <c r="E41" s="237" t="s">
        <v>284</v>
      </c>
      <c r="F41" s="238">
        <f>+F39-F40</f>
        <v>10</v>
      </c>
      <c r="G41" s="163"/>
      <c r="H41" s="164"/>
      <c r="I41" s="161"/>
      <c r="J41" s="161"/>
    </row>
  </sheetData>
  <mergeCells count="2">
    <mergeCell ref="D29:F29"/>
    <mergeCell ref="D30:F30"/>
  </mergeCells>
  <conditionalFormatting sqref="A1">
    <cfRule type="cellIs" dxfId="97" priority="2" operator="equal">
      <formula>#REF!</formula>
    </cfRule>
  </conditionalFormatting>
  <conditionalFormatting sqref="A2:A41">
    <cfRule type="cellIs" dxfId="96" priority="4" operator="equal">
      <formula>#REF!</formula>
    </cfRule>
  </conditionalFormatting>
  <conditionalFormatting sqref="B1">
    <cfRule type="cellIs" dxfId="95" priority="1" operator="equal">
      <formula>#REF!</formula>
    </cfRule>
  </conditionalFormatting>
  <conditionalFormatting sqref="C2:D2">
    <cfRule type="duplicateValues" dxfId="94" priority="3"/>
  </conditionalFormatting>
  <printOptions horizontalCentered="1" verticalCentered="1"/>
  <pageMargins left="0" right="0" top="0" bottom="0" header="0" footer="0"/>
  <pageSetup paperSize="9" scale="10" orientation="landscape" blackAndWhite="1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J35"/>
  <sheetViews>
    <sheetView rightToLeft="1" view="pageBreakPreview" topLeftCell="A2" zoomScale="20" zoomScaleNormal="10" zoomScaleSheetLayoutView="20" workbookViewId="0">
      <pane xSplit="1" ySplit="1" topLeftCell="B3" activePane="bottomRight" state="frozen"/>
      <selection activeCell="A2" sqref="A2"/>
      <selection pane="topRight" activeCell="B2" sqref="B2"/>
      <selection pane="bottomLeft" activeCell="A3" sqref="A3"/>
      <selection pane="bottomRight" activeCell="A4" sqref="A4:J19"/>
    </sheetView>
  </sheetViews>
  <sheetFormatPr defaultColWidth="42.85546875" defaultRowHeight="75" customHeight="1" x14ac:dyDescent="0.55000000000000004"/>
  <cols>
    <col min="1" max="1" width="50" style="334" customWidth="1"/>
    <col min="2" max="2" width="56.140625" style="334" bestFit="1" customWidth="1"/>
    <col min="3" max="3" width="73.85546875" style="334" bestFit="1" customWidth="1"/>
    <col min="4" max="4" width="64.42578125" style="334" bestFit="1" customWidth="1"/>
    <col min="5" max="5" width="64.42578125" style="334" customWidth="1"/>
    <col min="6" max="6" width="82.5703125" style="334" customWidth="1"/>
    <col min="7" max="7" width="87.140625" style="334" customWidth="1"/>
    <col min="8" max="8" width="88.28515625" style="334" customWidth="1"/>
    <col min="9" max="9" width="235.140625" style="334" bestFit="1" customWidth="1"/>
    <col min="10" max="10" width="65.42578125" style="334" customWidth="1"/>
    <col min="11" max="16384" width="42.85546875" style="334"/>
  </cols>
  <sheetData>
    <row r="1" spans="1:10" ht="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376" customFormat="1" ht="186" customHeight="1" thickBot="1" x14ac:dyDescent="1.1000000000000001">
      <c r="A2" s="372" t="s">
        <v>132</v>
      </c>
      <c r="B2" s="373" t="s">
        <v>1</v>
      </c>
      <c r="C2" s="374" t="s">
        <v>86</v>
      </c>
      <c r="D2" s="374" t="s">
        <v>163</v>
      </c>
      <c r="E2" s="375" t="s">
        <v>2</v>
      </c>
      <c r="F2" s="375" t="s">
        <v>3</v>
      </c>
      <c r="G2" s="375" t="s">
        <v>4</v>
      </c>
      <c r="H2" s="374" t="s">
        <v>92</v>
      </c>
      <c r="I2" s="374" t="s">
        <v>6</v>
      </c>
      <c r="J2" s="374" t="s">
        <v>7</v>
      </c>
    </row>
    <row r="3" spans="1:10" ht="146.25" customHeight="1" x14ac:dyDescent="0.55000000000000004">
      <c r="A3" s="181"/>
      <c r="B3" s="200"/>
      <c r="C3" s="181"/>
      <c r="D3" s="181"/>
      <c r="E3" s="183"/>
      <c r="F3" s="183"/>
      <c r="G3" s="210">
        <v>1162250</v>
      </c>
      <c r="H3" s="201" t="s">
        <v>129</v>
      </c>
      <c r="I3" s="181"/>
      <c r="J3" s="181"/>
    </row>
    <row r="4" spans="1:10" s="218" customFormat="1" ht="144" customHeight="1" x14ac:dyDescent="0.9">
      <c r="A4" s="399" t="s">
        <v>113</v>
      </c>
      <c r="B4" s="400">
        <v>45235</v>
      </c>
      <c r="C4" s="399">
        <v>1749</v>
      </c>
      <c r="D4" s="399"/>
      <c r="E4" s="401"/>
      <c r="F4" s="401">
        <v>350</v>
      </c>
      <c r="G4" s="402">
        <f>G3+E4-F4</f>
        <v>1161900</v>
      </c>
      <c r="H4" s="399" t="s">
        <v>584</v>
      </c>
      <c r="I4" s="399" t="s">
        <v>667</v>
      </c>
      <c r="J4" s="399"/>
    </row>
    <row r="5" spans="1:10" s="218" customFormat="1" ht="144" customHeight="1" x14ac:dyDescent="0.9">
      <c r="A5" s="403" t="s">
        <v>113</v>
      </c>
      <c r="B5" s="400">
        <v>45235</v>
      </c>
      <c r="C5" s="403">
        <v>1750</v>
      </c>
      <c r="D5" s="403"/>
      <c r="E5" s="404"/>
      <c r="F5" s="404">
        <v>20000</v>
      </c>
      <c r="G5" s="405">
        <f t="shared" ref="G5:G18" si="0">G4+E5-F5</f>
        <v>1141900</v>
      </c>
      <c r="H5" s="403" t="s">
        <v>366</v>
      </c>
      <c r="I5" s="403" t="s">
        <v>316</v>
      </c>
      <c r="J5" s="403"/>
    </row>
    <row r="6" spans="1:10" ht="144" customHeight="1" x14ac:dyDescent="0.55000000000000004">
      <c r="A6" s="399" t="s">
        <v>113</v>
      </c>
      <c r="B6" s="400">
        <v>45235</v>
      </c>
      <c r="C6" s="399">
        <v>1751</v>
      </c>
      <c r="D6" s="399"/>
      <c r="E6" s="401"/>
      <c r="F6" s="401">
        <v>50000</v>
      </c>
      <c r="G6" s="402">
        <f t="shared" si="0"/>
        <v>1091900</v>
      </c>
      <c r="H6" s="399" t="s">
        <v>69</v>
      </c>
      <c r="I6" s="399" t="s">
        <v>316</v>
      </c>
      <c r="J6" s="399"/>
    </row>
    <row r="7" spans="1:10" ht="144" customHeight="1" x14ac:dyDescent="0.55000000000000004">
      <c r="A7" s="403" t="s">
        <v>113</v>
      </c>
      <c r="B7" s="400">
        <v>45235</v>
      </c>
      <c r="C7" s="403">
        <v>1752</v>
      </c>
      <c r="D7" s="403"/>
      <c r="E7" s="404"/>
      <c r="F7" s="404">
        <v>27000</v>
      </c>
      <c r="G7" s="405">
        <f t="shared" si="0"/>
        <v>1064900</v>
      </c>
      <c r="H7" s="403" t="s">
        <v>525</v>
      </c>
      <c r="I7" s="403" t="s">
        <v>585</v>
      </c>
      <c r="J7" s="403"/>
    </row>
    <row r="8" spans="1:10" ht="144" customHeight="1" x14ac:dyDescent="0.55000000000000004">
      <c r="A8" s="399" t="s">
        <v>113</v>
      </c>
      <c r="B8" s="400">
        <v>45235</v>
      </c>
      <c r="C8" s="399">
        <v>1753</v>
      </c>
      <c r="D8" s="399"/>
      <c r="E8" s="401"/>
      <c r="F8" s="401">
        <v>1980</v>
      </c>
      <c r="G8" s="402">
        <f t="shared" si="0"/>
        <v>1062920</v>
      </c>
      <c r="H8" s="399" t="s">
        <v>544</v>
      </c>
      <c r="I8" s="399" t="s">
        <v>586</v>
      </c>
      <c r="J8" s="399"/>
    </row>
    <row r="9" spans="1:10" ht="144" customHeight="1" x14ac:dyDescent="0.55000000000000004">
      <c r="A9" s="403" t="s">
        <v>113</v>
      </c>
      <c r="B9" s="400">
        <v>45235</v>
      </c>
      <c r="C9" s="403">
        <v>1754</v>
      </c>
      <c r="D9" s="403"/>
      <c r="E9" s="404"/>
      <c r="F9" s="404">
        <v>9900</v>
      </c>
      <c r="G9" s="405">
        <f t="shared" si="0"/>
        <v>1053020</v>
      </c>
      <c r="H9" s="403" t="s">
        <v>72</v>
      </c>
      <c r="I9" s="403" t="s">
        <v>587</v>
      </c>
      <c r="J9" s="403"/>
    </row>
    <row r="10" spans="1:10" ht="144" customHeight="1" x14ac:dyDescent="0.55000000000000004">
      <c r="A10" s="399" t="s">
        <v>113</v>
      </c>
      <c r="B10" s="400">
        <v>45235</v>
      </c>
      <c r="C10" s="399">
        <v>1755</v>
      </c>
      <c r="D10" s="399"/>
      <c r="E10" s="401"/>
      <c r="F10" s="401">
        <v>800000</v>
      </c>
      <c r="G10" s="402">
        <f t="shared" si="0"/>
        <v>253020</v>
      </c>
      <c r="H10" s="399" t="s">
        <v>292</v>
      </c>
      <c r="I10" s="399" t="s">
        <v>601</v>
      </c>
      <c r="J10" s="399"/>
    </row>
    <row r="11" spans="1:10" ht="144" customHeight="1" x14ac:dyDescent="0.55000000000000004">
      <c r="A11" s="403" t="s">
        <v>113</v>
      </c>
      <c r="B11" s="400">
        <v>45235</v>
      </c>
      <c r="C11" s="403"/>
      <c r="D11" s="403"/>
      <c r="E11" s="404">
        <v>3525</v>
      </c>
      <c r="F11" s="404"/>
      <c r="G11" s="405">
        <f>G10+E11-F11</f>
        <v>256545</v>
      </c>
      <c r="H11" s="403" t="s">
        <v>128</v>
      </c>
      <c r="I11" s="403">
        <v>45234</v>
      </c>
      <c r="J11" s="403"/>
    </row>
    <row r="12" spans="1:10" ht="144" customHeight="1" x14ac:dyDescent="0.55000000000000004">
      <c r="A12" s="399" t="s">
        <v>113</v>
      </c>
      <c r="B12" s="400">
        <v>45235</v>
      </c>
      <c r="C12" s="399"/>
      <c r="D12" s="399">
        <v>1234</v>
      </c>
      <c r="E12" s="401">
        <v>81500</v>
      </c>
      <c r="F12" s="401"/>
      <c r="G12" s="402">
        <f t="shared" si="0"/>
        <v>338045</v>
      </c>
      <c r="H12" s="399" t="s">
        <v>588</v>
      </c>
      <c r="I12" s="399" t="s">
        <v>589</v>
      </c>
      <c r="J12" s="399"/>
    </row>
    <row r="13" spans="1:10" ht="144" customHeight="1" x14ac:dyDescent="0.55000000000000004">
      <c r="A13" s="403" t="s">
        <v>113</v>
      </c>
      <c r="B13" s="400">
        <v>45235</v>
      </c>
      <c r="C13" s="403"/>
      <c r="D13" s="403">
        <v>1235</v>
      </c>
      <c r="E13" s="404">
        <v>100000</v>
      </c>
      <c r="F13" s="404"/>
      <c r="G13" s="405">
        <f t="shared" si="0"/>
        <v>438045</v>
      </c>
      <c r="H13" s="403" t="s">
        <v>590</v>
      </c>
      <c r="I13" s="403" t="s">
        <v>591</v>
      </c>
      <c r="J13" s="403"/>
    </row>
    <row r="14" spans="1:10" ht="144" customHeight="1" x14ac:dyDescent="0.55000000000000004">
      <c r="A14" s="399" t="s">
        <v>113</v>
      </c>
      <c r="B14" s="400">
        <v>45235</v>
      </c>
      <c r="C14" s="399"/>
      <c r="D14" s="399">
        <v>1236</v>
      </c>
      <c r="E14" s="401">
        <v>40000</v>
      </c>
      <c r="F14" s="401"/>
      <c r="G14" s="402">
        <f t="shared" si="0"/>
        <v>478045</v>
      </c>
      <c r="H14" s="399" t="s">
        <v>598</v>
      </c>
      <c r="I14" s="399" t="s">
        <v>593</v>
      </c>
      <c r="J14" s="399"/>
    </row>
    <row r="15" spans="1:10" ht="144" customHeight="1" x14ac:dyDescent="0.55000000000000004">
      <c r="A15" s="403" t="s">
        <v>113</v>
      </c>
      <c r="B15" s="400">
        <v>45235</v>
      </c>
      <c r="C15" s="403">
        <v>1756</v>
      </c>
      <c r="D15" s="403"/>
      <c r="E15" s="404"/>
      <c r="F15" s="404">
        <v>50000</v>
      </c>
      <c r="G15" s="405">
        <f t="shared" si="0"/>
        <v>428045</v>
      </c>
      <c r="H15" s="403" t="s">
        <v>592</v>
      </c>
      <c r="I15" s="403" t="s">
        <v>602</v>
      </c>
      <c r="J15" s="403"/>
    </row>
    <row r="16" spans="1:10" ht="144" customHeight="1" x14ac:dyDescent="0.55000000000000004">
      <c r="A16" s="399" t="s">
        <v>113</v>
      </c>
      <c r="B16" s="400">
        <v>45235</v>
      </c>
      <c r="C16" s="399"/>
      <c r="D16" s="399"/>
      <c r="E16" s="401"/>
      <c r="F16" s="413">
        <v>200000</v>
      </c>
      <c r="G16" s="414">
        <f t="shared" si="0"/>
        <v>228045</v>
      </c>
      <c r="H16" s="415" t="s">
        <v>199</v>
      </c>
      <c r="I16" s="415" t="s">
        <v>603</v>
      </c>
      <c r="J16" s="360"/>
    </row>
    <row r="17" spans="1:10" ht="144" customHeight="1" x14ac:dyDescent="0.55000000000000004">
      <c r="A17" s="403" t="s">
        <v>113</v>
      </c>
      <c r="B17" s="400">
        <v>45235</v>
      </c>
      <c r="C17" s="403"/>
      <c r="D17" s="403"/>
      <c r="E17" s="404"/>
      <c r="F17" s="416">
        <v>100000</v>
      </c>
      <c r="G17" s="417">
        <f t="shared" si="0"/>
        <v>128045</v>
      </c>
      <c r="H17" s="418" t="s">
        <v>199</v>
      </c>
      <c r="I17" s="418" t="s">
        <v>604</v>
      </c>
      <c r="J17" s="360"/>
    </row>
    <row r="18" spans="1:10" ht="144" customHeight="1" x14ac:dyDescent="0.55000000000000004">
      <c r="A18" s="406" t="s">
        <v>114</v>
      </c>
      <c r="B18" s="408">
        <v>45235</v>
      </c>
      <c r="C18" s="406"/>
      <c r="D18" s="406" t="s">
        <v>297</v>
      </c>
      <c r="E18" s="409">
        <v>723600</v>
      </c>
      <c r="F18" s="409"/>
      <c r="G18" s="410">
        <f t="shared" si="0"/>
        <v>851645</v>
      </c>
      <c r="H18" s="406" t="s">
        <v>596</v>
      </c>
      <c r="I18" s="406" t="s">
        <v>597</v>
      </c>
      <c r="J18" s="399"/>
    </row>
    <row r="19" spans="1:10" ht="144" customHeight="1" x14ac:dyDescent="0.55000000000000004">
      <c r="A19" s="407" t="s">
        <v>114</v>
      </c>
      <c r="B19" s="408">
        <v>45235</v>
      </c>
      <c r="C19" s="407"/>
      <c r="D19" s="407" t="s">
        <v>297</v>
      </c>
      <c r="E19" s="411">
        <v>250000</v>
      </c>
      <c r="F19" s="411"/>
      <c r="G19" s="412">
        <f>G18+E19-F19</f>
        <v>1101645</v>
      </c>
      <c r="H19" s="407" t="s">
        <v>594</v>
      </c>
      <c r="I19" s="407" t="s">
        <v>595</v>
      </c>
      <c r="J19" s="403"/>
    </row>
    <row r="20" spans="1:10" ht="144" customHeight="1" thickBot="1" x14ac:dyDescent="0.6">
      <c r="A20" s="386"/>
      <c r="B20" s="398"/>
      <c r="C20" s="386"/>
      <c r="D20" s="386"/>
      <c r="E20" s="390"/>
      <c r="F20" s="388"/>
      <c r="G20" s="389"/>
      <c r="H20" s="391"/>
      <c r="I20" s="386"/>
      <c r="J20" s="386"/>
    </row>
    <row r="21" spans="1:10" ht="144" customHeight="1" thickTop="1" x14ac:dyDescent="0.55000000000000004">
      <c r="A21" s="170"/>
      <c r="B21" s="109" t="s">
        <v>127</v>
      </c>
      <c r="C21" s="110" t="s">
        <v>115</v>
      </c>
      <c r="D21" s="110" t="s">
        <v>179</v>
      </c>
      <c r="E21" s="110" t="s">
        <v>116</v>
      </c>
      <c r="F21" s="100" t="s">
        <v>180</v>
      </c>
      <c r="G21" s="111" t="s">
        <v>211</v>
      </c>
      <c r="H21" s="175"/>
      <c r="I21" s="340"/>
      <c r="J21" s="176"/>
    </row>
    <row r="22" spans="1:10" ht="144" customHeight="1" thickBot="1" x14ac:dyDescent="0.6">
      <c r="A22" s="161"/>
      <c r="B22" s="102">
        <f>$G$3</f>
        <v>1162250</v>
      </c>
      <c r="C22" s="103">
        <f>SUMIF(A4:A19,B1,E4:E$19)</f>
        <v>225025</v>
      </c>
      <c r="D22" s="103">
        <f>SUMIF(A4:A19,B1,F4:$F$19)</f>
        <v>1259230</v>
      </c>
      <c r="E22" s="103">
        <f>SUMIF(A3:A19,A1,E3:$E$19)</f>
        <v>973600</v>
      </c>
      <c r="F22" s="103">
        <f>SUMIF(A3:A19,A1,F3:$F$19)</f>
        <v>0</v>
      </c>
      <c r="G22" s="104">
        <f>+B22+C22+E22-D22-F22</f>
        <v>1101645</v>
      </c>
      <c r="H22" s="164"/>
      <c r="I22" s="180"/>
      <c r="J22" s="180"/>
    </row>
    <row r="23" spans="1:10" ht="192.75" customHeight="1" thickTop="1" x14ac:dyDescent="0.55000000000000004">
      <c r="A23" s="161"/>
      <c r="B23" s="161"/>
      <c r="C23" s="251">
        <f>+B22+C22-D22</f>
        <v>128045</v>
      </c>
      <c r="D23" s="564" t="s">
        <v>181</v>
      </c>
      <c r="E23" s="564"/>
      <c r="F23" s="564"/>
      <c r="G23" s="163"/>
      <c r="H23" s="164"/>
      <c r="I23" s="161"/>
      <c r="J23" s="161"/>
    </row>
    <row r="24" spans="1:10" ht="144" customHeight="1" x14ac:dyDescent="0.55000000000000004">
      <c r="A24" s="161"/>
      <c r="B24" s="161"/>
      <c r="C24" s="342"/>
      <c r="D24" s="565" t="s">
        <v>278</v>
      </c>
      <c r="E24" s="565"/>
      <c r="F24" s="565"/>
      <c r="G24" s="163"/>
      <c r="H24" s="164"/>
      <c r="I24" s="161"/>
      <c r="J24" s="161"/>
    </row>
    <row r="25" spans="1:10" ht="144" customHeight="1" x14ac:dyDescent="0.55000000000000004">
      <c r="A25" s="161"/>
      <c r="B25" s="161"/>
      <c r="C25" s="342"/>
      <c r="D25" s="227" t="s">
        <v>279</v>
      </c>
      <c r="E25" s="227" t="s">
        <v>280</v>
      </c>
      <c r="F25" s="227" t="s">
        <v>281</v>
      </c>
      <c r="G25" s="163"/>
      <c r="H25" s="164"/>
      <c r="I25" s="161"/>
      <c r="J25" s="161"/>
    </row>
    <row r="26" spans="1:10" ht="144" customHeight="1" x14ac:dyDescent="0.55000000000000004">
      <c r="A26" s="161"/>
      <c r="B26" s="161"/>
      <c r="C26" s="161"/>
      <c r="D26" s="215">
        <v>281</v>
      </c>
      <c r="E26" s="216">
        <v>200</v>
      </c>
      <c r="F26" s="216">
        <f>+E26*D26</f>
        <v>56200</v>
      </c>
      <c r="G26" s="163"/>
      <c r="H26" s="164"/>
      <c r="I26" s="161"/>
      <c r="J26" s="161"/>
    </row>
    <row r="27" spans="1:10" ht="144" customHeight="1" x14ac:dyDescent="0.55000000000000004">
      <c r="A27" s="161"/>
      <c r="B27" s="161"/>
      <c r="C27" s="161"/>
      <c r="D27" s="215">
        <f>406+15</f>
        <v>421</v>
      </c>
      <c r="E27" s="216">
        <v>100</v>
      </c>
      <c r="F27" s="216">
        <f t="shared" ref="F27:F32" si="1">+E27*D27</f>
        <v>42100</v>
      </c>
      <c r="G27" s="163"/>
      <c r="H27" s="164"/>
      <c r="I27" s="163"/>
      <c r="J27" s="161"/>
    </row>
    <row r="28" spans="1:10" ht="144" customHeight="1" x14ac:dyDescent="0.55000000000000004">
      <c r="A28" s="161"/>
      <c r="B28" s="161"/>
      <c r="C28" s="161"/>
      <c r="D28" s="215">
        <v>562</v>
      </c>
      <c r="E28" s="216">
        <v>50</v>
      </c>
      <c r="F28" s="216">
        <f t="shared" si="1"/>
        <v>28100</v>
      </c>
      <c r="G28" s="163"/>
      <c r="H28" s="164"/>
      <c r="I28" s="161"/>
      <c r="J28" s="161"/>
    </row>
    <row r="29" spans="1:10" ht="144" customHeight="1" x14ac:dyDescent="0.55000000000000004">
      <c r="A29" s="161"/>
      <c r="B29" s="161"/>
      <c r="C29" s="161"/>
      <c r="D29" s="215">
        <v>6</v>
      </c>
      <c r="E29" s="216">
        <v>20</v>
      </c>
      <c r="F29" s="216">
        <f t="shared" si="1"/>
        <v>120</v>
      </c>
      <c r="G29" s="163"/>
      <c r="H29" s="164"/>
      <c r="I29" s="161"/>
      <c r="J29" s="161"/>
    </row>
    <row r="30" spans="1:10" ht="144" customHeight="1" x14ac:dyDescent="0.55000000000000004">
      <c r="A30" s="161"/>
      <c r="B30" s="161"/>
      <c r="C30" s="161"/>
      <c r="D30" s="215">
        <v>124</v>
      </c>
      <c r="E30" s="216">
        <v>10</v>
      </c>
      <c r="F30" s="216">
        <f t="shared" si="1"/>
        <v>1240</v>
      </c>
      <c r="G30" s="163"/>
      <c r="H30" s="164"/>
      <c r="I30" s="161"/>
      <c r="J30" s="161"/>
    </row>
    <row r="31" spans="1:10" ht="144" customHeight="1" x14ac:dyDescent="0.55000000000000004">
      <c r="A31" s="161"/>
      <c r="B31" s="161"/>
      <c r="C31" s="161"/>
      <c r="D31" s="215">
        <v>58</v>
      </c>
      <c r="E31" s="216">
        <v>5</v>
      </c>
      <c r="F31" s="216">
        <f t="shared" si="1"/>
        <v>290</v>
      </c>
      <c r="G31" s="163"/>
      <c r="H31" s="164"/>
      <c r="I31" s="161"/>
      <c r="J31" s="161"/>
    </row>
    <row r="32" spans="1:10" ht="144" customHeight="1" thickBot="1" x14ac:dyDescent="0.6">
      <c r="A32" s="161"/>
      <c r="B32" s="161"/>
      <c r="C32" s="161"/>
      <c r="D32" s="229">
        <v>5</v>
      </c>
      <c r="E32" s="230">
        <v>1</v>
      </c>
      <c r="F32" s="230">
        <f t="shared" si="1"/>
        <v>5</v>
      </c>
      <c r="G32" s="163"/>
      <c r="H32" s="164"/>
      <c r="I32" s="161"/>
      <c r="J32" s="161"/>
    </row>
    <row r="33" spans="1:10" ht="144" customHeight="1" x14ac:dyDescent="0.55000000000000004">
      <c r="A33" s="161"/>
      <c r="B33" s="161"/>
      <c r="C33" s="161"/>
      <c r="D33" s="231"/>
      <c r="E33" s="232" t="s">
        <v>283</v>
      </c>
      <c r="F33" s="233">
        <f>SUM(F26:F32)</f>
        <v>128055</v>
      </c>
      <c r="G33" s="163"/>
      <c r="H33" s="164"/>
      <c r="I33" s="161"/>
      <c r="J33" s="161"/>
    </row>
    <row r="34" spans="1:10" ht="144" customHeight="1" x14ac:dyDescent="0.55000000000000004">
      <c r="A34" s="161"/>
      <c r="B34" s="161"/>
      <c r="C34" s="161"/>
      <c r="D34" s="234"/>
      <c r="E34" s="228" t="s">
        <v>282</v>
      </c>
      <c r="F34" s="235">
        <f>C23</f>
        <v>128045</v>
      </c>
      <c r="G34" s="163"/>
      <c r="H34" s="164"/>
      <c r="I34" s="161"/>
      <c r="J34" s="161"/>
    </row>
    <row r="35" spans="1:10" ht="144" customHeight="1" thickBot="1" x14ac:dyDescent="0.6">
      <c r="A35" s="161"/>
      <c r="B35" s="161"/>
      <c r="C35" s="161"/>
      <c r="D35" s="236"/>
      <c r="E35" s="237" t="s">
        <v>284</v>
      </c>
      <c r="F35" s="238">
        <f>+F33-F34</f>
        <v>10</v>
      </c>
      <c r="G35" s="163"/>
      <c r="H35" s="164"/>
      <c r="I35" s="161"/>
      <c r="J35" s="161"/>
    </row>
  </sheetData>
  <mergeCells count="2">
    <mergeCell ref="D23:F23"/>
    <mergeCell ref="D24:F24"/>
  </mergeCells>
  <conditionalFormatting sqref="A1">
    <cfRule type="cellIs" dxfId="93" priority="4" operator="equal">
      <formula>#REF!</formula>
    </cfRule>
  </conditionalFormatting>
  <conditionalFormatting sqref="A2:A5 A20:A35">
    <cfRule type="cellIs" dxfId="92" priority="6" operator="equal">
      <formula>#REF!</formula>
    </cfRule>
  </conditionalFormatting>
  <conditionalFormatting sqref="A6:A19">
    <cfRule type="cellIs" dxfId="91" priority="1" operator="equal">
      <formula>#REF!</formula>
    </cfRule>
  </conditionalFormatting>
  <conditionalFormatting sqref="B1">
    <cfRule type="cellIs" dxfId="90" priority="3" operator="equal">
      <formula>#REF!</formula>
    </cfRule>
  </conditionalFormatting>
  <conditionalFormatting sqref="C2:D2">
    <cfRule type="duplicateValues" dxfId="89" priority="5"/>
  </conditionalFormatting>
  <printOptions horizontalCentered="1" verticalCentered="1"/>
  <pageMargins left="0" right="0" top="0" bottom="0" header="0" footer="0"/>
  <pageSetup paperSize="9" scale="11" orientation="landscape" blackAndWhite="1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J34"/>
  <sheetViews>
    <sheetView rightToLeft="1" view="pageBreakPreview" topLeftCell="A2" zoomScale="25" zoomScaleNormal="10" zoomScaleSheetLayoutView="25" workbookViewId="0">
      <pane xSplit="1" ySplit="1" topLeftCell="B3" activePane="bottomRight" state="frozen"/>
      <selection activeCell="A2" sqref="A2"/>
      <selection pane="topRight" activeCell="B2" sqref="B2"/>
      <selection pane="bottomLeft" activeCell="A3" sqref="A3"/>
      <selection pane="bottomRight" activeCell="A4" sqref="A4:J18"/>
    </sheetView>
  </sheetViews>
  <sheetFormatPr defaultColWidth="42.85546875" defaultRowHeight="75" customHeight="1" x14ac:dyDescent="0.55000000000000004"/>
  <cols>
    <col min="1" max="1" width="56.85546875" style="334" customWidth="1"/>
    <col min="2" max="2" width="56.140625" style="334" bestFit="1" customWidth="1"/>
    <col min="3" max="3" width="73.85546875" style="334" bestFit="1" customWidth="1"/>
    <col min="4" max="4" width="64.42578125" style="334" bestFit="1" customWidth="1"/>
    <col min="5" max="5" width="64.42578125" style="334" customWidth="1"/>
    <col min="6" max="6" width="72" style="334" customWidth="1"/>
    <col min="7" max="7" width="98.42578125" style="334" customWidth="1"/>
    <col min="8" max="8" width="123.85546875" style="334" customWidth="1"/>
    <col min="9" max="9" width="235.140625" style="334" bestFit="1" customWidth="1"/>
    <col min="10" max="10" width="65.42578125" style="334" customWidth="1"/>
    <col min="11" max="16384" width="42.85546875" style="334"/>
  </cols>
  <sheetData>
    <row r="1" spans="1:10" ht="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376" customFormat="1" ht="102" customHeight="1" thickBot="1" x14ac:dyDescent="1.1000000000000001">
      <c r="A2" s="372" t="s">
        <v>132</v>
      </c>
      <c r="B2" s="373" t="s">
        <v>1</v>
      </c>
      <c r="C2" s="374" t="s">
        <v>86</v>
      </c>
      <c r="D2" s="374" t="s">
        <v>163</v>
      </c>
      <c r="E2" s="375" t="s">
        <v>2</v>
      </c>
      <c r="F2" s="375" t="s">
        <v>3</v>
      </c>
      <c r="G2" s="375" t="s">
        <v>4</v>
      </c>
      <c r="H2" s="374" t="s">
        <v>92</v>
      </c>
      <c r="I2" s="424" t="s">
        <v>6</v>
      </c>
      <c r="J2" s="374" t="s">
        <v>7</v>
      </c>
    </row>
    <row r="3" spans="1:10" ht="102" customHeight="1" x14ac:dyDescent="0.55000000000000004">
      <c r="A3" s="181"/>
      <c r="B3" s="200"/>
      <c r="C3" s="181"/>
      <c r="D3" s="181"/>
      <c r="E3" s="183"/>
      <c r="F3" s="183"/>
      <c r="G3" s="210">
        <v>128045</v>
      </c>
      <c r="H3" s="201" t="s">
        <v>129</v>
      </c>
      <c r="I3" s="181"/>
      <c r="J3" s="181"/>
    </row>
    <row r="4" spans="1:10" s="218" customFormat="1" ht="102" customHeight="1" x14ac:dyDescent="0.9">
      <c r="A4" s="406" t="s">
        <v>114</v>
      </c>
      <c r="B4" s="400">
        <v>45236</v>
      </c>
      <c r="C4" s="399"/>
      <c r="D4" s="399">
        <v>1237</v>
      </c>
      <c r="E4" s="409">
        <v>1200000</v>
      </c>
      <c r="F4" s="401"/>
      <c r="G4" s="402">
        <f>G3+E4-F4</f>
        <v>1328045</v>
      </c>
      <c r="H4" s="399" t="s">
        <v>605</v>
      </c>
      <c r="I4" s="422" t="s">
        <v>606</v>
      </c>
      <c r="J4" s="399" t="s">
        <v>607</v>
      </c>
    </row>
    <row r="5" spans="1:10" s="218" customFormat="1" ht="102" customHeight="1" x14ac:dyDescent="0.9">
      <c r="A5" s="403" t="s">
        <v>113</v>
      </c>
      <c r="B5" s="400">
        <v>45236</v>
      </c>
      <c r="C5" s="403"/>
      <c r="D5" s="403">
        <v>1238</v>
      </c>
      <c r="E5" s="411">
        <v>200000</v>
      </c>
      <c r="F5" s="404"/>
      <c r="G5" s="405">
        <f t="shared" ref="G5:G18" si="0">G4+E5-F5</f>
        <v>1528045</v>
      </c>
      <c r="H5" s="403" t="s">
        <v>608</v>
      </c>
      <c r="I5" s="423" t="s">
        <v>609</v>
      </c>
      <c r="J5" s="403"/>
    </row>
    <row r="6" spans="1:10" ht="102" customHeight="1" x14ac:dyDescent="0.55000000000000004">
      <c r="A6" s="399" t="s">
        <v>113</v>
      </c>
      <c r="B6" s="400">
        <v>45236</v>
      </c>
      <c r="C6" s="399"/>
      <c r="D6" s="399">
        <v>1239</v>
      </c>
      <c r="E6" s="409">
        <v>20000</v>
      </c>
      <c r="F6" s="401"/>
      <c r="G6" s="402">
        <f t="shared" si="0"/>
        <v>1548045</v>
      </c>
      <c r="H6" s="399" t="s">
        <v>457</v>
      </c>
      <c r="I6" s="422" t="s">
        <v>610</v>
      </c>
      <c r="J6" s="399"/>
    </row>
    <row r="7" spans="1:10" s="218" customFormat="1" ht="102" customHeight="1" x14ac:dyDescent="0.9">
      <c r="A7" s="403" t="s">
        <v>113</v>
      </c>
      <c r="B7" s="400">
        <v>45236</v>
      </c>
      <c r="C7" s="403"/>
      <c r="D7" s="403">
        <v>1240</v>
      </c>
      <c r="E7" s="411">
        <v>168500</v>
      </c>
      <c r="F7" s="404"/>
      <c r="G7" s="405">
        <f t="shared" si="0"/>
        <v>1716545</v>
      </c>
      <c r="H7" s="403" t="s">
        <v>611</v>
      </c>
      <c r="I7" s="423" t="s">
        <v>612</v>
      </c>
      <c r="J7" s="403"/>
    </row>
    <row r="8" spans="1:10" ht="102" customHeight="1" x14ac:dyDescent="0.55000000000000004">
      <c r="A8" s="399" t="s">
        <v>113</v>
      </c>
      <c r="B8" s="400">
        <v>45236</v>
      </c>
      <c r="C8" s="399"/>
      <c r="D8" s="399">
        <v>1241</v>
      </c>
      <c r="E8" s="409">
        <v>5000</v>
      </c>
      <c r="F8" s="401"/>
      <c r="G8" s="402">
        <f t="shared" si="0"/>
        <v>1721545</v>
      </c>
      <c r="H8" s="399" t="s">
        <v>613</v>
      </c>
      <c r="I8" s="422" t="s">
        <v>614</v>
      </c>
      <c r="J8" s="399"/>
    </row>
    <row r="9" spans="1:10" s="218" customFormat="1" ht="102" customHeight="1" x14ac:dyDescent="0.9">
      <c r="A9" s="403" t="s">
        <v>113</v>
      </c>
      <c r="B9" s="400">
        <v>45236</v>
      </c>
      <c r="C9" s="403"/>
      <c r="D9" s="403">
        <v>1242</v>
      </c>
      <c r="E9" s="411">
        <v>54000</v>
      </c>
      <c r="F9" s="404"/>
      <c r="G9" s="405">
        <f t="shared" si="0"/>
        <v>1775545</v>
      </c>
      <c r="H9" s="403" t="s">
        <v>615</v>
      </c>
      <c r="I9" s="423" t="s">
        <v>616</v>
      </c>
      <c r="J9" s="403"/>
    </row>
    <row r="10" spans="1:10" ht="102" customHeight="1" x14ac:dyDescent="0.55000000000000004">
      <c r="A10" s="399" t="s">
        <v>113</v>
      </c>
      <c r="B10" s="400">
        <v>45236</v>
      </c>
      <c r="C10" s="399"/>
      <c r="D10" s="399">
        <v>1243</v>
      </c>
      <c r="E10" s="409">
        <v>900000</v>
      </c>
      <c r="F10" s="401"/>
      <c r="G10" s="402">
        <f t="shared" si="0"/>
        <v>2675545</v>
      </c>
      <c r="H10" s="399" t="s">
        <v>536</v>
      </c>
      <c r="I10" s="422" t="s">
        <v>537</v>
      </c>
      <c r="J10" s="399"/>
    </row>
    <row r="11" spans="1:10" s="218" customFormat="1" ht="102" customHeight="1" x14ac:dyDescent="0.9">
      <c r="A11" s="403" t="s">
        <v>113</v>
      </c>
      <c r="B11" s="400">
        <v>45236</v>
      </c>
      <c r="C11" s="403"/>
      <c r="D11" s="403">
        <v>1244</v>
      </c>
      <c r="E11" s="411">
        <v>60000</v>
      </c>
      <c r="F11" s="404"/>
      <c r="G11" s="405">
        <f>G10+E11-F11</f>
        <v>2735545</v>
      </c>
      <c r="H11" s="403" t="s">
        <v>617</v>
      </c>
      <c r="I11" s="423" t="s">
        <v>618</v>
      </c>
      <c r="J11" s="403"/>
    </row>
    <row r="12" spans="1:10" ht="102" customHeight="1" x14ac:dyDescent="0.55000000000000004">
      <c r="A12" s="399" t="s">
        <v>113</v>
      </c>
      <c r="B12" s="400">
        <v>45236</v>
      </c>
      <c r="C12" s="399"/>
      <c r="D12" s="399">
        <v>0</v>
      </c>
      <c r="E12" s="409">
        <v>115000</v>
      </c>
      <c r="F12" s="401"/>
      <c r="G12" s="402">
        <f t="shared" si="0"/>
        <v>2850545</v>
      </c>
      <c r="H12" s="399" t="s">
        <v>619</v>
      </c>
      <c r="I12" s="422" t="s">
        <v>620</v>
      </c>
      <c r="J12" s="399"/>
    </row>
    <row r="13" spans="1:10" s="218" customFormat="1" ht="102" customHeight="1" x14ac:dyDescent="0.9">
      <c r="A13" s="403" t="s">
        <v>113</v>
      </c>
      <c r="B13" s="400">
        <v>45236</v>
      </c>
      <c r="C13" s="403"/>
      <c r="D13" s="403"/>
      <c r="E13" s="411">
        <v>1632</v>
      </c>
      <c r="F13" s="404"/>
      <c r="G13" s="405">
        <f t="shared" si="0"/>
        <v>2852177</v>
      </c>
      <c r="H13" s="403" t="s">
        <v>128</v>
      </c>
      <c r="I13" s="423"/>
      <c r="J13" s="403"/>
    </row>
    <row r="14" spans="1:10" ht="102" customHeight="1" x14ac:dyDescent="0.55000000000000004">
      <c r="A14" s="399" t="s">
        <v>113</v>
      </c>
      <c r="B14" s="400">
        <v>45236</v>
      </c>
      <c r="C14" s="399">
        <v>1757</v>
      </c>
      <c r="D14" s="399"/>
      <c r="E14" s="401"/>
      <c r="F14" s="401">
        <v>500</v>
      </c>
      <c r="G14" s="402">
        <f t="shared" si="0"/>
        <v>2851677</v>
      </c>
      <c r="H14" s="399" t="s">
        <v>117</v>
      </c>
      <c r="I14" s="422" t="s">
        <v>224</v>
      </c>
      <c r="J14" s="399"/>
    </row>
    <row r="15" spans="1:10" s="218" customFormat="1" ht="102" customHeight="1" x14ac:dyDescent="0.9">
      <c r="A15" s="403" t="s">
        <v>113</v>
      </c>
      <c r="B15" s="400">
        <v>45236</v>
      </c>
      <c r="C15" s="403">
        <v>1758</v>
      </c>
      <c r="D15" s="403"/>
      <c r="E15" s="404"/>
      <c r="F15" s="404">
        <v>1400</v>
      </c>
      <c r="G15" s="405">
        <f t="shared" si="0"/>
        <v>2850277</v>
      </c>
      <c r="H15" s="403" t="s">
        <v>197</v>
      </c>
      <c r="I15" s="423" t="s">
        <v>621</v>
      </c>
      <c r="J15" s="403"/>
    </row>
    <row r="16" spans="1:10" ht="102" customHeight="1" x14ac:dyDescent="0.55000000000000004">
      <c r="A16" s="399" t="s">
        <v>113</v>
      </c>
      <c r="B16" s="400">
        <v>45236</v>
      </c>
      <c r="C16" s="399">
        <v>1759</v>
      </c>
      <c r="D16" s="399"/>
      <c r="E16" s="401"/>
      <c r="F16" s="401">
        <v>1000</v>
      </c>
      <c r="G16" s="402">
        <f t="shared" si="0"/>
        <v>2849277</v>
      </c>
      <c r="H16" s="399" t="s">
        <v>336</v>
      </c>
      <c r="I16" s="422" t="s">
        <v>224</v>
      </c>
      <c r="J16" s="399"/>
    </row>
    <row r="17" spans="1:10" s="218" customFormat="1" ht="102" customHeight="1" x14ac:dyDescent="0.9">
      <c r="A17" s="403" t="s">
        <v>113</v>
      </c>
      <c r="B17" s="400">
        <v>45236</v>
      </c>
      <c r="C17" s="403">
        <v>1760</v>
      </c>
      <c r="D17" s="403"/>
      <c r="E17" s="404"/>
      <c r="F17" s="404">
        <v>1560</v>
      </c>
      <c r="G17" s="402">
        <f t="shared" si="0"/>
        <v>2847717</v>
      </c>
      <c r="H17" s="403" t="s">
        <v>256</v>
      </c>
      <c r="I17" s="423" t="s">
        <v>624</v>
      </c>
      <c r="J17" s="403"/>
    </row>
    <row r="18" spans="1:10" ht="102" customHeight="1" x14ac:dyDescent="0.55000000000000004">
      <c r="A18" s="399" t="s">
        <v>113</v>
      </c>
      <c r="B18" s="400">
        <v>45236</v>
      </c>
      <c r="C18" s="399">
        <v>1761</v>
      </c>
      <c r="D18" s="399"/>
      <c r="E18" s="401"/>
      <c r="F18" s="401">
        <v>10000</v>
      </c>
      <c r="G18" s="402">
        <f t="shared" si="0"/>
        <v>2837717</v>
      </c>
      <c r="H18" s="399" t="s">
        <v>622</v>
      </c>
      <c r="I18" s="422" t="s">
        <v>623</v>
      </c>
      <c r="J18" s="399"/>
    </row>
    <row r="19" spans="1:10" ht="102" customHeight="1" thickBot="1" x14ac:dyDescent="0.6">
      <c r="A19" s="386"/>
      <c r="B19" s="398"/>
      <c r="C19" s="386"/>
      <c r="D19" s="386"/>
      <c r="E19" s="390"/>
      <c r="F19" s="388"/>
      <c r="G19" s="389"/>
      <c r="H19" s="391"/>
      <c r="I19" s="386"/>
      <c r="J19" s="386"/>
    </row>
    <row r="20" spans="1:10" ht="102" customHeight="1" thickTop="1" x14ac:dyDescent="0.55000000000000004">
      <c r="A20" s="170"/>
      <c r="B20" s="109" t="s">
        <v>127</v>
      </c>
      <c r="C20" s="110" t="s">
        <v>115</v>
      </c>
      <c r="D20" s="110" t="s">
        <v>179</v>
      </c>
      <c r="E20" s="110" t="s">
        <v>116</v>
      </c>
      <c r="F20" s="100" t="s">
        <v>180</v>
      </c>
      <c r="G20" s="111" t="s">
        <v>211</v>
      </c>
      <c r="H20" s="175"/>
      <c r="I20" s="340"/>
      <c r="J20" s="176"/>
    </row>
    <row r="21" spans="1:10" ht="102" customHeight="1" thickBot="1" x14ac:dyDescent="0.6">
      <c r="A21" s="161"/>
      <c r="B21" s="102">
        <f>$G$3</f>
        <v>128045</v>
      </c>
      <c r="C21" s="103">
        <f>SUMIF(A4:A18,B1,E4:E$18)</f>
        <v>1524132</v>
      </c>
      <c r="D21" s="103">
        <f>SUMIF(A4:A18,B1,F4:$F$18)</f>
        <v>14460</v>
      </c>
      <c r="E21" s="103">
        <f>SUMIF(A3:A18,A1,E3:$E$18)</f>
        <v>1200000</v>
      </c>
      <c r="F21" s="103">
        <f>SUMIF(A3:A18,A1,F3:$F$18)</f>
        <v>0</v>
      </c>
      <c r="G21" s="104">
        <f>+B21+C21+E21-D21-F21</f>
        <v>2837717</v>
      </c>
      <c r="H21" s="164"/>
      <c r="I21" s="180"/>
      <c r="J21" s="180"/>
    </row>
    <row r="22" spans="1:10" ht="171" customHeight="1" thickTop="1" x14ac:dyDescent="0.55000000000000004">
      <c r="A22" s="161"/>
      <c r="B22" s="161"/>
      <c r="C22" s="251">
        <f>+B21+C21-D21</f>
        <v>1637717</v>
      </c>
      <c r="D22" s="564" t="s">
        <v>181</v>
      </c>
      <c r="E22" s="564"/>
      <c r="F22" s="564"/>
      <c r="G22" s="163"/>
      <c r="H22" s="164"/>
      <c r="I22" s="161"/>
      <c r="J22" s="161"/>
    </row>
    <row r="23" spans="1:10" ht="144" customHeight="1" x14ac:dyDescent="0.55000000000000004">
      <c r="A23" s="161"/>
      <c r="B23" s="161"/>
      <c r="C23" s="342"/>
      <c r="D23" s="565" t="s">
        <v>278</v>
      </c>
      <c r="E23" s="565"/>
      <c r="F23" s="565"/>
      <c r="G23" s="163"/>
      <c r="H23" s="164"/>
      <c r="I23" s="161"/>
      <c r="J23" s="161"/>
    </row>
    <row r="24" spans="1:10" ht="144" customHeight="1" x14ac:dyDescent="0.55000000000000004">
      <c r="A24" s="161"/>
      <c r="B24" s="161"/>
      <c r="C24" s="342"/>
      <c r="D24" s="227" t="s">
        <v>279</v>
      </c>
      <c r="E24" s="227" t="s">
        <v>280</v>
      </c>
      <c r="F24" s="227" t="s">
        <v>281</v>
      </c>
      <c r="G24" s="163"/>
      <c r="H24" s="164"/>
      <c r="I24" s="161"/>
      <c r="J24" s="161"/>
    </row>
    <row r="25" spans="1:10" ht="144" customHeight="1" x14ac:dyDescent="0.55000000000000004">
      <c r="A25" s="161"/>
      <c r="B25" s="161"/>
      <c r="C25" s="161"/>
      <c r="D25" s="215">
        <f>5700+45+5</f>
        <v>5750</v>
      </c>
      <c r="E25" s="216">
        <v>200</v>
      </c>
      <c r="F25" s="216">
        <f>+E25*D25</f>
        <v>1150000</v>
      </c>
      <c r="G25" s="163"/>
      <c r="H25" s="164"/>
      <c r="I25" s="161"/>
      <c r="J25" s="161"/>
    </row>
    <row r="26" spans="1:10" ht="144" customHeight="1" x14ac:dyDescent="0.55000000000000004">
      <c r="A26" s="161"/>
      <c r="B26" s="161"/>
      <c r="C26" s="161"/>
      <c r="D26" s="215">
        <f>3200+45</f>
        <v>3245</v>
      </c>
      <c r="E26" s="216">
        <v>100</v>
      </c>
      <c r="F26" s="216">
        <f t="shared" ref="F26:F31" si="1">+E26*D26</f>
        <v>324500</v>
      </c>
      <c r="G26" s="163"/>
      <c r="H26" s="164"/>
      <c r="I26" s="163"/>
      <c r="J26" s="161"/>
    </row>
    <row r="27" spans="1:10" ht="144" customHeight="1" x14ac:dyDescent="0.55000000000000004">
      <c r="A27" s="161"/>
      <c r="B27" s="161"/>
      <c r="C27" s="161"/>
      <c r="D27" s="215">
        <f>3000+54</f>
        <v>3054</v>
      </c>
      <c r="E27" s="216">
        <v>50</v>
      </c>
      <c r="F27" s="216">
        <f t="shared" si="1"/>
        <v>152700</v>
      </c>
      <c r="G27" s="163"/>
      <c r="H27" s="164"/>
      <c r="I27" s="161"/>
      <c r="J27" s="161"/>
    </row>
    <row r="28" spans="1:10" ht="144" customHeight="1" x14ac:dyDescent="0.55000000000000004">
      <c r="A28" s="161"/>
      <c r="B28" s="161"/>
      <c r="C28" s="161"/>
      <c r="D28" s="215">
        <f>400+46</f>
        <v>446</v>
      </c>
      <c r="E28" s="216">
        <v>20</v>
      </c>
      <c r="F28" s="216">
        <f t="shared" si="1"/>
        <v>8920</v>
      </c>
      <c r="G28" s="163"/>
      <c r="H28" s="164"/>
      <c r="I28" s="161"/>
      <c r="J28" s="161"/>
    </row>
    <row r="29" spans="1:10" ht="144" customHeight="1" x14ac:dyDescent="0.55000000000000004">
      <c r="A29" s="161"/>
      <c r="B29" s="161"/>
      <c r="C29" s="161"/>
      <c r="D29" s="215">
        <v>130</v>
      </c>
      <c r="E29" s="216">
        <v>10</v>
      </c>
      <c r="F29" s="216">
        <f t="shared" si="1"/>
        <v>1300</v>
      </c>
      <c r="G29" s="163"/>
      <c r="H29" s="164"/>
      <c r="I29" s="161"/>
      <c r="J29" s="161"/>
    </row>
    <row r="30" spans="1:10" ht="144" customHeight="1" x14ac:dyDescent="0.55000000000000004">
      <c r="A30" s="161"/>
      <c r="B30" s="161"/>
      <c r="C30" s="161"/>
      <c r="D30" s="215">
        <v>60</v>
      </c>
      <c r="E30" s="216">
        <v>5</v>
      </c>
      <c r="F30" s="216">
        <f t="shared" si="1"/>
        <v>300</v>
      </c>
      <c r="G30" s="163"/>
      <c r="H30" s="164"/>
      <c r="I30" s="161"/>
      <c r="J30" s="161"/>
    </row>
    <row r="31" spans="1:10" ht="144" customHeight="1" thickBot="1" x14ac:dyDescent="0.6">
      <c r="A31" s="161"/>
      <c r="B31" s="161"/>
      <c r="C31" s="161"/>
      <c r="D31" s="229">
        <v>7</v>
      </c>
      <c r="E31" s="230">
        <v>1</v>
      </c>
      <c r="F31" s="230">
        <f t="shared" si="1"/>
        <v>7</v>
      </c>
      <c r="G31" s="163"/>
      <c r="H31" s="164"/>
      <c r="I31" s="161"/>
      <c r="J31" s="161"/>
    </row>
    <row r="32" spans="1:10" ht="144" customHeight="1" x14ac:dyDescent="0.55000000000000004">
      <c r="A32" s="161"/>
      <c r="B32" s="161"/>
      <c r="C32" s="161"/>
      <c r="D32" s="231"/>
      <c r="E32" s="232" t="s">
        <v>283</v>
      </c>
      <c r="F32" s="233">
        <f>SUM(F25:F31)</f>
        <v>1637727</v>
      </c>
      <c r="G32" s="163"/>
      <c r="H32" s="164"/>
      <c r="I32" s="161"/>
      <c r="J32" s="161"/>
    </row>
    <row r="33" spans="1:10" ht="144" customHeight="1" x14ac:dyDescent="0.55000000000000004">
      <c r="A33" s="161"/>
      <c r="B33" s="161"/>
      <c r="C33" s="161"/>
      <c r="D33" s="234"/>
      <c r="E33" s="228" t="s">
        <v>282</v>
      </c>
      <c r="F33" s="235">
        <f>C22</f>
        <v>1637717</v>
      </c>
      <c r="G33" s="163"/>
      <c r="H33" s="164"/>
      <c r="I33" s="161"/>
      <c r="J33" s="161"/>
    </row>
    <row r="34" spans="1:10" ht="144" customHeight="1" thickBot="1" x14ac:dyDescent="0.6">
      <c r="A34" s="161"/>
      <c r="B34" s="161"/>
      <c r="C34" s="161"/>
      <c r="D34" s="236"/>
      <c r="E34" s="237" t="s">
        <v>284</v>
      </c>
      <c r="F34" s="238">
        <f>+F32-F33</f>
        <v>10</v>
      </c>
      <c r="G34" s="163"/>
      <c r="H34" s="164"/>
      <c r="I34" s="161"/>
      <c r="J34" s="161"/>
    </row>
  </sheetData>
  <mergeCells count="2">
    <mergeCell ref="D22:F22"/>
    <mergeCell ref="D23:F23"/>
  </mergeCells>
  <conditionalFormatting sqref="A1">
    <cfRule type="cellIs" dxfId="88" priority="5" operator="equal">
      <formula>#REF!</formula>
    </cfRule>
  </conditionalFormatting>
  <conditionalFormatting sqref="A2:A5 A19:A34">
    <cfRule type="cellIs" dxfId="87" priority="7" operator="equal">
      <formula>#REF!</formula>
    </cfRule>
  </conditionalFormatting>
  <conditionalFormatting sqref="A6:A18">
    <cfRule type="cellIs" dxfId="86" priority="1" operator="equal">
      <formula>#REF!</formula>
    </cfRule>
  </conditionalFormatting>
  <conditionalFormatting sqref="B1">
    <cfRule type="cellIs" dxfId="85" priority="4" operator="equal">
      <formula>#REF!</formula>
    </cfRule>
  </conditionalFormatting>
  <conditionalFormatting sqref="C2:D2">
    <cfRule type="duplicateValues" dxfId="84" priority="6"/>
  </conditionalFormatting>
  <printOptions horizontalCentered="1" verticalCentered="1"/>
  <pageMargins left="0" right="0" top="0" bottom="0" header="0" footer="0"/>
  <pageSetup paperSize="9" scale="14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7"/>
  <sheetViews>
    <sheetView showGridLines="0" rightToLeft="1" zoomScale="55" zoomScaleNormal="55" workbookViewId="0">
      <pane ySplit="1" topLeftCell="A5" activePane="bottomLeft" state="frozen"/>
      <selection pane="bottomLeft" activeCell="H7" sqref="H7"/>
    </sheetView>
  </sheetViews>
  <sheetFormatPr defaultColWidth="17.140625" defaultRowHeight="15" x14ac:dyDescent="0.25"/>
  <cols>
    <col min="1" max="1" width="21" style="30" customWidth="1"/>
    <col min="2" max="2" width="16.42578125" style="30" bestFit="1" customWidth="1"/>
    <col min="3" max="3" width="18.5703125" style="30" bestFit="1" customWidth="1"/>
    <col min="4" max="4" width="20.5703125" style="30" bestFit="1" customWidth="1"/>
    <col min="5" max="5" width="37.42578125" style="30" customWidth="1"/>
    <col min="6" max="7" width="25.85546875" style="30" bestFit="1" customWidth="1"/>
    <col min="8" max="8" width="39" style="30" customWidth="1"/>
    <col min="9" max="9" width="79.5703125" style="30" bestFit="1" customWidth="1"/>
    <col min="10" max="10" width="31.5703125" style="30" customWidth="1"/>
    <col min="11" max="16384" width="17.140625" style="30"/>
  </cols>
  <sheetData>
    <row r="1" spans="1:10" s="38" customFormat="1" ht="62.25" customHeight="1" thickBot="1" x14ac:dyDescent="0.3">
      <c r="A1" s="34" t="s">
        <v>132</v>
      </c>
      <c r="B1" s="35" t="s">
        <v>1</v>
      </c>
      <c r="C1" s="36" t="s">
        <v>86</v>
      </c>
      <c r="D1" s="36" t="s">
        <v>87</v>
      </c>
      <c r="E1" s="37" t="s">
        <v>2</v>
      </c>
      <c r="F1" s="37" t="s">
        <v>3</v>
      </c>
      <c r="G1" s="37" t="s">
        <v>4</v>
      </c>
      <c r="H1" s="36" t="s">
        <v>92</v>
      </c>
      <c r="I1" s="36" t="s">
        <v>6</v>
      </c>
      <c r="J1" s="36" t="s">
        <v>7</v>
      </c>
    </row>
    <row r="2" spans="1:10" s="55" customFormat="1" ht="54.75" customHeight="1" x14ac:dyDescent="0.25">
      <c r="B2" s="56"/>
      <c r="E2" s="57"/>
      <c r="F2" s="57"/>
      <c r="G2" s="57">
        <f>6586</f>
        <v>6586</v>
      </c>
      <c r="H2" s="55" t="s">
        <v>129</v>
      </c>
      <c r="I2" s="58"/>
    </row>
    <row r="3" spans="1:10" s="55" customFormat="1" ht="54.75" customHeight="1" x14ac:dyDescent="0.25">
      <c r="A3" s="59" t="s">
        <v>114</v>
      </c>
      <c r="B3" s="60">
        <v>45206</v>
      </c>
      <c r="C3" s="59"/>
      <c r="D3" s="59">
        <v>1139</v>
      </c>
      <c r="E3" s="61">
        <v>400000</v>
      </c>
      <c r="F3" s="61"/>
      <c r="G3" s="61">
        <f t="shared" ref="G3:G14" si="0">+G2+E3-F3</f>
        <v>406586</v>
      </c>
      <c r="H3" s="59" t="s">
        <v>93</v>
      </c>
      <c r="I3" s="62" t="s">
        <v>94</v>
      </c>
      <c r="J3" s="59"/>
    </row>
    <row r="4" spans="1:10" s="55" customFormat="1" ht="54.75" customHeight="1" x14ac:dyDescent="0.25">
      <c r="A4" s="55" t="s">
        <v>114</v>
      </c>
      <c r="B4" s="56">
        <v>45206</v>
      </c>
      <c r="D4" s="55">
        <v>1140</v>
      </c>
      <c r="E4" s="57">
        <v>200000</v>
      </c>
      <c r="F4" s="57"/>
      <c r="G4" s="57">
        <f t="shared" si="0"/>
        <v>606586</v>
      </c>
      <c r="H4" s="55" t="s">
        <v>95</v>
      </c>
      <c r="I4" s="58" t="s">
        <v>96</v>
      </c>
    </row>
    <row r="5" spans="1:10" s="55" customFormat="1" ht="54.75" customHeight="1" x14ac:dyDescent="0.25">
      <c r="A5" s="59" t="s">
        <v>113</v>
      </c>
      <c r="B5" s="60">
        <v>45206</v>
      </c>
      <c r="C5" s="59"/>
      <c r="D5" s="59">
        <v>1141</v>
      </c>
      <c r="E5" s="61">
        <v>30000</v>
      </c>
      <c r="F5" s="61"/>
      <c r="G5" s="61">
        <f t="shared" si="0"/>
        <v>636586</v>
      </c>
      <c r="H5" s="59" t="s">
        <v>97</v>
      </c>
      <c r="I5" s="62" t="s">
        <v>98</v>
      </c>
      <c r="J5" s="59"/>
    </row>
    <row r="6" spans="1:10" s="55" customFormat="1" ht="54.75" customHeight="1" x14ac:dyDescent="0.25">
      <c r="A6" s="55" t="s">
        <v>114</v>
      </c>
      <c r="B6" s="56">
        <v>45206</v>
      </c>
      <c r="D6" s="55">
        <v>1142</v>
      </c>
      <c r="E6" s="57">
        <v>400000</v>
      </c>
      <c r="F6" s="57"/>
      <c r="G6" s="57">
        <f t="shared" si="0"/>
        <v>1036586</v>
      </c>
      <c r="H6" s="55" t="s">
        <v>99</v>
      </c>
      <c r="I6" s="58" t="s">
        <v>100</v>
      </c>
    </row>
    <row r="7" spans="1:10" s="55" customFormat="1" ht="54.75" customHeight="1" x14ac:dyDescent="0.25">
      <c r="A7" s="59" t="s">
        <v>113</v>
      </c>
      <c r="B7" s="60">
        <v>45206</v>
      </c>
      <c r="C7" s="59"/>
      <c r="D7" s="59">
        <v>1143</v>
      </c>
      <c r="E7" s="61">
        <v>60000</v>
      </c>
      <c r="F7" s="61"/>
      <c r="G7" s="61">
        <f t="shared" si="0"/>
        <v>1096586</v>
      </c>
      <c r="H7" s="59" t="s">
        <v>101</v>
      </c>
      <c r="I7" s="62" t="s">
        <v>102</v>
      </c>
      <c r="J7" s="59"/>
    </row>
    <row r="8" spans="1:10" s="55" customFormat="1" ht="54.75" customHeight="1" x14ac:dyDescent="0.25">
      <c r="A8" s="55" t="s">
        <v>113</v>
      </c>
      <c r="B8" s="56">
        <v>45206</v>
      </c>
      <c r="D8" s="55">
        <v>1144</v>
      </c>
      <c r="E8" s="57">
        <v>85000</v>
      </c>
      <c r="F8" s="57"/>
      <c r="G8" s="57">
        <f t="shared" si="0"/>
        <v>1181586</v>
      </c>
      <c r="H8" s="55" t="s">
        <v>103</v>
      </c>
      <c r="I8" s="58" t="s">
        <v>104</v>
      </c>
    </row>
    <row r="9" spans="1:10" s="55" customFormat="1" ht="54.75" customHeight="1" x14ac:dyDescent="0.25">
      <c r="A9" s="59" t="s">
        <v>113</v>
      </c>
      <c r="B9" s="60">
        <v>45206</v>
      </c>
      <c r="C9" s="59"/>
      <c r="D9" s="59">
        <v>1145</v>
      </c>
      <c r="E9" s="61">
        <v>15000</v>
      </c>
      <c r="F9" s="61"/>
      <c r="G9" s="61">
        <f t="shared" si="0"/>
        <v>1196586</v>
      </c>
      <c r="H9" s="59" t="s">
        <v>105</v>
      </c>
      <c r="I9" s="62" t="s">
        <v>106</v>
      </c>
      <c r="J9" s="59"/>
    </row>
    <row r="10" spans="1:10" s="55" customFormat="1" ht="54.75" customHeight="1" x14ac:dyDescent="0.25">
      <c r="A10" s="55" t="s">
        <v>114</v>
      </c>
      <c r="B10" s="56">
        <v>45206</v>
      </c>
      <c r="D10" s="55">
        <v>1146</v>
      </c>
      <c r="E10" s="57">
        <v>15000</v>
      </c>
      <c r="F10" s="57"/>
      <c r="G10" s="57">
        <f t="shared" si="0"/>
        <v>1211586</v>
      </c>
      <c r="H10" s="55" t="s">
        <v>107</v>
      </c>
      <c r="I10" s="58" t="s">
        <v>108</v>
      </c>
    </row>
    <row r="11" spans="1:10" s="55" customFormat="1" ht="54.75" customHeight="1" x14ac:dyDescent="0.25">
      <c r="A11" s="59" t="s">
        <v>114</v>
      </c>
      <c r="B11" s="60">
        <v>45206</v>
      </c>
      <c r="C11" s="59"/>
      <c r="D11" s="59">
        <v>1147</v>
      </c>
      <c r="E11" s="61">
        <v>202500</v>
      </c>
      <c r="F11" s="61"/>
      <c r="G11" s="61">
        <f t="shared" si="0"/>
        <v>1414086</v>
      </c>
      <c r="H11" s="59" t="s">
        <v>109</v>
      </c>
      <c r="I11" s="62" t="s">
        <v>110</v>
      </c>
      <c r="J11" s="59"/>
    </row>
    <row r="12" spans="1:10" s="55" customFormat="1" ht="54.75" customHeight="1" x14ac:dyDescent="0.25">
      <c r="A12" s="55" t="s">
        <v>114</v>
      </c>
      <c r="B12" s="56">
        <v>45206</v>
      </c>
      <c r="D12" s="55">
        <v>1148</v>
      </c>
      <c r="E12" s="57">
        <v>100000</v>
      </c>
      <c r="F12" s="57"/>
      <c r="G12" s="57">
        <f t="shared" si="0"/>
        <v>1514086</v>
      </c>
      <c r="H12" s="55" t="s">
        <v>111</v>
      </c>
      <c r="I12" s="58" t="s">
        <v>112</v>
      </c>
    </row>
    <row r="13" spans="1:10" s="55" customFormat="1" ht="54.75" customHeight="1" x14ac:dyDescent="0.25">
      <c r="A13" s="59" t="s">
        <v>113</v>
      </c>
      <c r="B13" s="60">
        <v>45206</v>
      </c>
      <c r="C13" s="59"/>
      <c r="D13" s="59"/>
      <c r="E13" s="61">
        <v>3210</v>
      </c>
      <c r="F13" s="61"/>
      <c r="G13" s="61">
        <f t="shared" si="0"/>
        <v>1517296</v>
      </c>
      <c r="H13" s="59" t="s">
        <v>128</v>
      </c>
      <c r="I13" s="62"/>
      <c r="J13" s="59"/>
    </row>
    <row r="14" spans="1:10" s="55" customFormat="1" ht="54.75" customHeight="1" x14ac:dyDescent="0.25">
      <c r="B14" s="56">
        <v>45206</v>
      </c>
      <c r="C14" s="55">
        <v>1551</v>
      </c>
      <c r="E14" s="57"/>
      <c r="F14" s="57">
        <v>500</v>
      </c>
      <c r="G14" s="57">
        <f t="shared" si="0"/>
        <v>1516796</v>
      </c>
      <c r="H14" s="55" t="s">
        <v>117</v>
      </c>
      <c r="I14" s="58" t="s">
        <v>75</v>
      </c>
    </row>
    <row r="15" spans="1:10" s="55" customFormat="1" ht="54.75" customHeight="1" x14ac:dyDescent="0.25">
      <c r="A15" s="59"/>
      <c r="B15" s="60">
        <v>45206</v>
      </c>
      <c r="C15" s="59">
        <v>1552</v>
      </c>
      <c r="D15" s="59"/>
      <c r="E15" s="61"/>
      <c r="F15" s="61">
        <v>2185</v>
      </c>
      <c r="G15" s="61">
        <f t="shared" ref="G15:G20" si="1">+G14+E15-F15</f>
        <v>1514611</v>
      </c>
      <c r="H15" s="59" t="s">
        <v>118</v>
      </c>
      <c r="I15" s="62" t="s">
        <v>119</v>
      </c>
      <c r="J15" s="59"/>
    </row>
    <row r="16" spans="1:10" s="55" customFormat="1" ht="54.75" customHeight="1" x14ac:dyDescent="0.25">
      <c r="B16" s="56">
        <v>45206</v>
      </c>
      <c r="C16" s="55">
        <v>1553</v>
      </c>
      <c r="E16" s="57"/>
      <c r="F16" s="57">
        <v>400</v>
      </c>
      <c r="G16" s="57">
        <f t="shared" si="1"/>
        <v>1514211</v>
      </c>
      <c r="H16" s="55" t="s">
        <v>72</v>
      </c>
      <c r="I16" s="58" t="s">
        <v>120</v>
      </c>
    </row>
    <row r="17" spans="1:10" s="55" customFormat="1" ht="54.75" customHeight="1" x14ac:dyDescent="0.25">
      <c r="A17" s="59"/>
      <c r="B17" s="60">
        <v>45206</v>
      </c>
      <c r="C17" s="59">
        <v>1554</v>
      </c>
      <c r="D17" s="59"/>
      <c r="E17" s="61"/>
      <c r="F17" s="61">
        <v>6660</v>
      </c>
      <c r="G17" s="61">
        <f t="shared" si="1"/>
        <v>1507551</v>
      </c>
      <c r="H17" s="59" t="s">
        <v>72</v>
      </c>
      <c r="I17" s="62" t="s">
        <v>121</v>
      </c>
      <c r="J17" s="59"/>
    </row>
    <row r="18" spans="1:10" s="55" customFormat="1" ht="54.75" customHeight="1" x14ac:dyDescent="0.25">
      <c r="B18" s="56">
        <v>45206</v>
      </c>
      <c r="C18" s="55">
        <v>1555</v>
      </c>
      <c r="E18" s="57"/>
      <c r="F18" s="57">
        <v>500</v>
      </c>
      <c r="G18" s="57">
        <f t="shared" si="1"/>
        <v>1507051</v>
      </c>
      <c r="H18" s="55" t="s">
        <v>122</v>
      </c>
      <c r="I18" s="58" t="s">
        <v>78</v>
      </c>
    </row>
    <row r="19" spans="1:10" s="55" customFormat="1" ht="54.75" customHeight="1" x14ac:dyDescent="0.25">
      <c r="A19" s="59"/>
      <c r="B19" s="60">
        <v>45206</v>
      </c>
      <c r="C19" s="59">
        <v>1556</v>
      </c>
      <c r="D19" s="59"/>
      <c r="E19" s="61"/>
      <c r="F19" s="61">
        <v>1000</v>
      </c>
      <c r="G19" s="61">
        <f t="shared" si="1"/>
        <v>1506051</v>
      </c>
      <c r="H19" s="59" t="s">
        <v>66</v>
      </c>
      <c r="I19" s="62" t="s">
        <v>123</v>
      </c>
      <c r="J19" s="59"/>
    </row>
    <row r="20" spans="1:10" s="55" customFormat="1" ht="54.75" customHeight="1" x14ac:dyDescent="0.25">
      <c r="B20" s="56">
        <v>45206</v>
      </c>
      <c r="C20" s="55">
        <v>1557</v>
      </c>
      <c r="E20" s="57"/>
      <c r="F20" s="57">
        <v>10000</v>
      </c>
      <c r="G20" s="57">
        <f t="shared" si="1"/>
        <v>1496051</v>
      </c>
      <c r="H20" s="55" t="s">
        <v>72</v>
      </c>
      <c r="I20" s="58" t="s">
        <v>124</v>
      </c>
    </row>
    <row r="21" spans="1:10" s="55" customFormat="1" ht="54.75" customHeight="1" x14ac:dyDescent="0.25">
      <c r="A21" s="59"/>
      <c r="B21" s="60">
        <v>45206</v>
      </c>
      <c r="C21" s="59">
        <v>1557</v>
      </c>
      <c r="D21" s="59"/>
      <c r="E21" s="61"/>
      <c r="F21" s="198">
        <v>1317500</v>
      </c>
      <c r="G21" s="61">
        <f>+G20+E21-F21</f>
        <v>178551</v>
      </c>
      <c r="H21" s="59" t="s">
        <v>66</v>
      </c>
      <c r="I21" s="62"/>
      <c r="J21" s="59"/>
    </row>
    <row r="22" spans="1:10" ht="32.25" customHeight="1" x14ac:dyDescent="0.25">
      <c r="B22" s="29"/>
      <c r="E22" s="31"/>
      <c r="F22" s="31"/>
      <c r="G22" s="31"/>
      <c r="I22" s="32"/>
    </row>
    <row r="23" spans="1:10" ht="32.25" customHeight="1" thickBot="1" x14ac:dyDescent="0.3">
      <c r="B23" s="29"/>
      <c r="E23" s="31"/>
      <c r="F23" s="31"/>
      <c r="G23" s="31"/>
      <c r="I23" s="32"/>
    </row>
    <row r="24" spans="1:10" ht="51.75" customHeight="1" thickTop="1" x14ac:dyDescent="0.25">
      <c r="B24" s="42" t="s">
        <v>127</v>
      </c>
      <c r="C24" s="43" t="s">
        <v>115</v>
      </c>
      <c r="D24" s="43" t="s">
        <v>116</v>
      </c>
      <c r="E24" s="48" t="s">
        <v>125</v>
      </c>
      <c r="F24" s="44" t="s">
        <v>126</v>
      </c>
      <c r="G24" s="31"/>
      <c r="H24" s="49" t="s">
        <v>133</v>
      </c>
      <c r="I24" s="50" t="s">
        <v>130</v>
      </c>
      <c r="J24" s="51" t="s">
        <v>131</v>
      </c>
    </row>
    <row r="25" spans="1:10" ht="75" customHeight="1" thickBot="1" x14ac:dyDescent="0.3">
      <c r="B25" s="45">
        <v>6586</v>
      </c>
      <c r="C25" s="46">
        <f>SUMIF(A3:A20,A7,E3:E20)</f>
        <v>193210</v>
      </c>
      <c r="D25" s="46">
        <f>SUMIF(A3:A12,A3,E3:E12)</f>
        <v>1317500</v>
      </c>
      <c r="E25" s="46">
        <f>SUM(F14:F20)</f>
        <v>21245</v>
      </c>
      <c r="F25" s="47">
        <f>+B25+C25-E25</f>
        <v>178551</v>
      </c>
      <c r="G25" s="31"/>
      <c r="H25" s="39">
        <f>+G2+E3+E4+E5+E6+E7+E8+E9+E10+E11++E12+E13</f>
        <v>1517296</v>
      </c>
      <c r="I25" s="40">
        <f>SUM(F14:F21)</f>
        <v>1338745</v>
      </c>
      <c r="J25" s="41">
        <f>+H25-I25</f>
        <v>178551</v>
      </c>
    </row>
    <row r="26" spans="1:10" ht="32.25" customHeight="1" thickTop="1" x14ac:dyDescent="0.25">
      <c r="E26" s="31"/>
      <c r="F26" s="31"/>
      <c r="G26" s="31"/>
    </row>
    <row r="27" spans="1:10" ht="44.25" customHeight="1" x14ac:dyDescent="0.25">
      <c r="D27" s="52"/>
      <c r="E27" s="53"/>
      <c r="F27" s="31"/>
      <c r="G27" s="31"/>
    </row>
    <row r="28" spans="1:10" ht="32.25" customHeight="1" x14ac:dyDescent="0.25">
      <c r="E28" s="31"/>
      <c r="F28" s="31"/>
      <c r="G28" s="31"/>
    </row>
    <row r="29" spans="1:10" ht="32.25" customHeight="1" x14ac:dyDescent="0.25">
      <c r="E29" s="31"/>
      <c r="F29" s="31"/>
      <c r="G29" s="31"/>
    </row>
    <row r="30" spans="1:10" ht="32.25" customHeight="1" x14ac:dyDescent="0.25">
      <c r="E30" s="31"/>
      <c r="F30" s="31"/>
      <c r="G30" s="31"/>
    </row>
    <row r="31" spans="1:10" ht="32.25" customHeight="1" x14ac:dyDescent="0.25">
      <c r="E31" s="31"/>
      <c r="F31" s="31"/>
      <c r="G31" s="31"/>
    </row>
    <row r="32" spans="1:10" ht="32.25" customHeight="1" x14ac:dyDescent="0.25">
      <c r="E32" s="31"/>
      <c r="F32" s="31"/>
      <c r="G32" s="31"/>
    </row>
    <row r="33" spans="5:7" ht="32.25" customHeight="1" x14ac:dyDescent="0.25">
      <c r="E33" s="31"/>
      <c r="F33" s="31"/>
      <c r="G33" s="31"/>
    </row>
    <row r="34" spans="5:7" ht="32.25" customHeight="1" x14ac:dyDescent="0.25">
      <c r="E34" s="31"/>
      <c r="F34" s="31"/>
      <c r="G34" s="31"/>
    </row>
    <row r="35" spans="5:7" ht="32.25" customHeight="1" x14ac:dyDescent="0.25">
      <c r="E35" s="31"/>
      <c r="F35" s="31"/>
      <c r="G35" s="31"/>
    </row>
    <row r="36" spans="5:7" ht="32.25" customHeight="1" x14ac:dyDescent="0.25">
      <c r="E36" s="31"/>
      <c r="F36" s="31"/>
      <c r="G36" s="31"/>
    </row>
    <row r="37" spans="5:7" ht="32.25" customHeight="1" x14ac:dyDescent="0.25">
      <c r="E37" s="31"/>
      <c r="F37" s="31"/>
      <c r="G37" s="31"/>
    </row>
    <row r="38" spans="5:7" ht="32.25" customHeight="1" x14ac:dyDescent="0.25">
      <c r="E38" s="31"/>
      <c r="F38" s="31"/>
      <c r="G38" s="31"/>
    </row>
    <row r="39" spans="5:7" ht="32.25" customHeight="1" x14ac:dyDescent="0.25">
      <c r="E39" s="31"/>
      <c r="F39" s="31"/>
      <c r="G39" s="31"/>
    </row>
    <row r="40" spans="5:7" ht="32.25" customHeight="1" x14ac:dyDescent="0.25">
      <c r="E40" s="31"/>
      <c r="F40" s="31"/>
      <c r="G40" s="31"/>
    </row>
    <row r="41" spans="5:7" ht="32.25" customHeight="1" x14ac:dyDescent="0.25">
      <c r="E41" s="31"/>
      <c r="F41" s="31"/>
      <c r="G41" s="31"/>
    </row>
    <row r="42" spans="5:7" ht="32.25" customHeight="1" x14ac:dyDescent="0.25">
      <c r="E42" s="31"/>
      <c r="F42" s="31"/>
      <c r="G42" s="31"/>
    </row>
    <row r="43" spans="5:7" ht="32.25" customHeight="1" x14ac:dyDescent="0.25">
      <c r="E43" s="31"/>
      <c r="F43" s="31"/>
      <c r="G43" s="31"/>
    </row>
    <row r="44" spans="5:7" ht="32.25" customHeight="1" x14ac:dyDescent="0.25">
      <c r="E44" s="31"/>
      <c r="F44" s="31"/>
      <c r="G44" s="31"/>
    </row>
    <row r="45" spans="5:7" ht="32.25" customHeight="1" x14ac:dyDescent="0.25">
      <c r="E45" s="31"/>
      <c r="F45" s="31"/>
      <c r="G45" s="31"/>
    </row>
    <row r="46" spans="5:7" ht="32.25" customHeight="1" x14ac:dyDescent="0.25">
      <c r="E46" s="31"/>
      <c r="F46" s="31"/>
      <c r="G46" s="31"/>
    </row>
    <row r="47" spans="5:7" ht="32.25" customHeight="1" x14ac:dyDescent="0.25">
      <c r="E47" s="31"/>
      <c r="F47" s="31"/>
      <c r="G47" s="31"/>
    </row>
    <row r="48" spans="5:7" ht="32.25" customHeight="1" x14ac:dyDescent="0.25">
      <c r="E48" s="31"/>
      <c r="F48" s="31"/>
      <c r="G48" s="31"/>
    </row>
    <row r="49" spans="5:7" ht="32.25" customHeight="1" x14ac:dyDescent="0.25">
      <c r="E49" s="31"/>
      <c r="F49" s="31"/>
      <c r="G49" s="31"/>
    </row>
    <row r="50" spans="5:7" ht="32.25" customHeight="1" x14ac:dyDescent="0.25">
      <c r="E50" s="31"/>
      <c r="F50" s="31"/>
      <c r="G50" s="31"/>
    </row>
    <row r="51" spans="5:7" ht="32.25" customHeight="1" x14ac:dyDescent="0.25">
      <c r="E51" s="31"/>
      <c r="F51" s="31"/>
      <c r="G51" s="31"/>
    </row>
    <row r="52" spans="5:7" ht="32.25" customHeight="1" x14ac:dyDescent="0.25">
      <c r="E52" s="31"/>
      <c r="F52" s="31"/>
      <c r="G52" s="31"/>
    </row>
    <row r="53" spans="5:7" ht="32.25" customHeight="1" x14ac:dyDescent="0.25">
      <c r="E53" s="31"/>
      <c r="F53" s="31"/>
      <c r="G53" s="31"/>
    </row>
    <row r="54" spans="5:7" ht="32.25" customHeight="1" x14ac:dyDescent="0.25">
      <c r="E54" s="31"/>
      <c r="F54" s="31"/>
      <c r="G54" s="31"/>
    </row>
    <row r="55" spans="5:7" ht="32.25" customHeight="1" x14ac:dyDescent="0.25">
      <c r="E55" s="31"/>
      <c r="F55" s="31"/>
      <c r="G55" s="31"/>
    </row>
    <row r="56" spans="5:7" ht="32.25" customHeight="1" x14ac:dyDescent="0.25"/>
    <row r="57" spans="5:7" ht="32.25" customHeight="1" x14ac:dyDescent="0.25"/>
  </sheetData>
  <conditionalFormatting sqref="C1:D1">
    <cfRule type="duplicateValues" dxfId="225" priority="2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J31"/>
  <sheetViews>
    <sheetView rightToLeft="1" view="pageBreakPreview" topLeftCell="A2" zoomScale="10" zoomScaleNormal="10" zoomScaleSheetLayoutView="10" workbookViewId="0">
      <pane ySplit="1" topLeftCell="A3" activePane="bottomLeft" state="frozen"/>
      <selection activeCell="A2" sqref="A2"/>
      <selection pane="bottomLeft" activeCell="A4" sqref="A4:J15"/>
    </sheetView>
  </sheetViews>
  <sheetFormatPr defaultColWidth="42.85546875" defaultRowHeight="75" customHeight="1" x14ac:dyDescent="0.55000000000000004"/>
  <cols>
    <col min="1" max="1" width="69.7109375" style="334" customWidth="1"/>
    <col min="2" max="2" width="121.7109375" style="334" bestFit="1" customWidth="1"/>
    <col min="3" max="3" width="109.2851562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50.140625" style="334" bestFit="1" customWidth="1"/>
    <col min="9" max="9" width="255.140625" style="334" customWidth="1"/>
    <col min="10" max="10" width="116.7109375" style="334" customWidth="1"/>
    <col min="11" max="16384" width="42.85546875" style="334"/>
  </cols>
  <sheetData>
    <row r="1" spans="1:10" ht="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267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176.25" customHeight="1" x14ac:dyDescent="0.9">
      <c r="A3" s="262"/>
      <c r="B3" s="263"/>
      <c r="C3" s="262"/>
      <c r="D3" s="262"/>
      <c r="E3" s="264"/>
      <c r="F3" s="264"/>
      <c r="G3" s="265">
        <v>1637717</v>
      </c>
      <c r="H3" s="265" t="s">
        <v>129</v>
      </c>
      <c r="I3" s="262"/>
      <c r="J3" s="262"/>
    </row>
    <row r="4" spans="1:10" s="218" customFormat="1" ht="176.25" customHeight="1" x14ac:dyDescent="0.9">
      <c r="A4" s="426" t="s">
        <v>113</v>
      </c>
      <c r="B4" s="427">
        <v>45237</v>
      </c>
      <c r="C4" s="426">
        <v>1762</v>
      </c>
      <c r="D4" s="426"/>
      <c r="E4" s="428"/>
      <c r="F4" s="428">
        <v>500000</v>
      </c>
      <c r="G4" s="429">
        <f>G3+E4-F4</f>
        <v>1137717</v>
      </c>
      <c r="H4" s="426" t="s">
        <v>208</v>
      </c>
      <c r="I4" s="430" t="s">
        <v>625</v>
      </c>
      <c r="J4" s="426"/>
    </row>
    <row r="5" spans="1:10" s="425" customFormat="1" ht="176.25" customHeight="1" x14ac:dyDescent="0.9">
      <c r="A5" s="431" t="s">
        <v>113</v>
      </c>
      <c r="B5" s="432">
        <v>45237</v>
      </c>
      <c r="C5" s="431">
        <v>1763</v>
      </c>
      <c r="D5" s="431"/>
      <c r="E5" s="433"/>
      <c r="F5" s="433">
        <v>800000</v>
      </c>
      <c r="G5" s="434">
        <f t="shared" ref="G5:G14" si="0">G4+E5-F5</f>
        <v>337717</v>
      </c>
      <c r="H5" s="431" t="s">
        <v>292</v>
      </c>
      <c r="I5" s="435" t="s">
        <v>626</v>
      </c>
      <c r="J5" s="431"/>
    </row>
    <row r="6" spans="1:10" s="218" customFormat="1" ht="176.25" customHeight="1" x14ac:dyDescent="0.9">
      <c r="A6" s="426" t="s">
        <v>113</v>
      </c>
      <c r="B6" s="427">
        <v>45237</v>
      </c>
      <c r="C6" s="426">
        <v>1764</v>
      </c>
      <c r="D6" s="426"/>
      <c r="E6" s="428"/>
      <c r="F6" s="428">
        <v>1000</v>
      </c>
      <c r="G6" s="429">
        <f t="shared" si="0"/>
        <v>336717</v>
      </c>
      <c r="H6" s="426" t="s">
        <v>634</v>
      </c>
      <c r="I6" s="430" t="s">
        <v>635</v>
      </c>
      <c r="J6" s="426"/>
    </row>
    <row r="7" spans="1:10" s="425" customFormat="1" ht="176.25" customHeight="1" x14ac:dyDescent="0.9">
      <c r="A7" s="431" t="s">
        <v>113</v>
      </c>
      <c r="B7" s="432">
        <v>45237</v>
      </c>
      <c r="C7" s="431">
        <v>1765</v>
      </c>
      <c r="D7" s="431"/>
      <c r="E7" s="433"/>
      <c r="F7" s="433">
        <v>190</v>
      </c>
      <c r="G7" s="434">
        <f t="shared" si="0"/>
        <v>336527</v>
      </c>
      <c r="H7" s="431" t="s">
        <v>628</v>
      </c>
      <c r="I7" s="435" t="s">
        <v>629</v>
      </c>
      <c r="J7" s="431"/>
    </row>
    <row r="8" spans="1:10" s="218" customFormat="1" ht="176.25" customHeight="1" x14ac:dyDescent="0.9">
      <c r="A8" s="426" t="s">
        <v>113</v>
      </c>
      <c r="B8" s="427">
        <v>45237</v>
      </c>
      <c r="C8" s="426">
        <v>1766</v>
      </c>
      <c r="D8" s="426"/>
      <c r="E8" s="428"/>
      <c r="F8" s="428">
        <v>7210</v>
      </c>
      <c r="G8" s="429">
        <f t="shared" si="0"/>
        <v>329317</v>
      </c>
      <c r="H8" s="426" t="s">
        <v>72</v>
      </c>
      <c r="I8" s="430" t="s">
        <v>633</v>
      </c>
      <c r="J8" s="426"/>
    </row>
    <row r="9" spans="1:10" s="425" customFormat="1" ht="176.25" customHeight="1" x14ac:dyDescent="0.9">
      <c r="A9" s="431" t="s">
        <v>113</v>
      </c>
      <c r="B9" s="432">
        <v>45237</v>
      </c>
      <c r="C9" s="431">
        <v>1767</v>
      </c>
      <c r="D9" s="431"/>
      <c r="E9" s="433"/>
      <c r="F9" s="433">
        <v>50000</v>
      </c>
      <c r="G9" s="434">
        <f t="shared" si="0"/>
        <v>279317</v>
      </c>
      <c r="H9" s="431" t="s">
        <v>235</v>
      </c>
      <c r="I9" s="435" t="s">
        <v>316</v>
      </c>
      <c r="J9" s="431"/>
    </row>
    <row r="10" spans="1:10" s="218" customFormat="1" ht="176.25" customHeight="1" x14ac:dyDescent="0.9">
      <c r="A10" s="426" t="s">
        <v>113</v>
      </c>
      <c r="B10" s="427">
        <v>45237</v>
      </c>
      <c r="C10" s="426"/>
      <c r="D10" s="426">
        <v>1245</v>
      </c>
      <c r="E10" s="428">
        <v>55000</v>
      </c>
      <c r="F10" s="428"/>
      <c r="G10" s="429">
        <f t="shared" si="0"/>
        <v>334317</v>
      </c>
      <c r="H10" s="426" t="s">
        <v>638</v>
      </c>
      <c r="I10" s="430" t="s">
        <v>627</v>
      </c>
      <c r="J10" s="426"/>
    </row>
    <row r="11" spans="1:10" s="425" customFormat="1" ht="176.25" customHeight="1" x14ac:dyDescent="0.9">
      <c r="A11" s="431" t="s">
        <v>113</v>
      </c>
      <c r="B11" s="432">
        <v>45237</v>
      </c>
      <c r="C11" s="431"/>
      <c r="D11" s="431">
        <v>1246</v>
      </c>
      <c r="E11" s="433">
        <v>78000</v>
      </c>
      <c r="F11" s="433"/>
      <c r="G11" s="434">
        <f t="shared" si="0"/>
        <v>412317</v>
      </c>
      <c r="H11" s="431" t="s">
        <v>630</v>
      </c>
      <c r="I11" s="435" t="s">
        <v>631</v>
      </c>
      <c r="J11" s="431"/>
    </row>
    <row r="12" spans="1:10" s="218" customFormat="1" ht="176.25" customHeight="1" x14ac:dyDescent="0.9">
      <c r="A12" s="426" t="s">
        <v>113</v>
      </c>
      <c r="B12" s="427">
        <v>45237</v>
      </c>
      <c r="C12" s="426"/>
      <c r="D12" s="426">
        <v>1247</v>
      </c>
      <c r="E12" s="428">
        <v>78000</v>
      </c>
      <c r="F12" s="428"/>
      <c r="G12" s="429">
        <f t="shared" si="0"/>
        <v>490317</v>
      </c>
      <c r="H12" s="426" t="s">
        <v>632</v>
      </c>
      <c r="I12" s="430" t="s">
        <v>631</v>
      </c>
      <c r="J12" s="426"/>
    </row>
    <row r="13" spans="1:10" s="425" customFormat="1" ht="176.25" customHeight="1" x14ac:dyDescent="0.9">
      <c r="A13" s="431" t="s">
        <v>113</v>
      </c>
      <c r="B13" s="432">
        <v>45237</v>
      </c>
      <c r="C13" s="431"/>
      <c r="D13" s="431">
        <v>1248</v>
      </c>
      <c r="E13" s="433">
        <v>250000</v>
      </c>
      <c r="F13" s="433"/>
      <c r="G13" s="434">
        <f t="shared" si="0"/>
        <v>740317</v>
      </c>
      <c r="H13" s="431" t="s">
        <v>441</v>
      </c>
      <c r="I13" s="435" t="s">
        <v>636</v>
      </c>
      <c r="J13" s="431"/>
    </row>
    <row r="14" spans="1:10" s="218" customFormat="1" ht="176.25" customHeight="1" x14ac:dyDescent="0.9">
      <c r="A14" s="426" t="s">
        <v>113</v>
      </c>
      <c r="B14" s="427">
        <v>45237</v>
      </c>
      <c r="C14" s="426"/>
      <c r="D14" s="426"/>
      <c r="E14" s="428">
        <v>2415</v>
      </c>
      <c r="F14" s="428"/>
      <c r="G14" s="429">
        <f t="shared" si="0"/>
        <v>742732</v>
      </c>
      <c r="H14" s="426" t="s">
        <v>128</v>
      </c>
      <c r="I14" s="430"/>
      <c r="J14" s="426"/>
    </row>
    <row r="15" spans="1:10" s="446" customFormat="1" ht="176.25" customHeight="1" x14ac:dyDescent="0.9">
      <c r="A15" s="441" t="s">
        <v>113</v>
      </c>
      <c r="B15" s="442"/>
      <c r="C15" s="441"/>
      <c r="D15" s="441"/>
      <c r="E15" s="443"/>
      <c r="F15" s="443">
        <v>3000</v>
      </c>
      <c r="G15" s="444">
        <f>+G14+E15-F15</f>
        <v>739732</v>
      </c>
      <c r="H15" s="441" t="s">
        <v>538</v>
      </c>
      <c r="I15" s="445" t="s">
        <v>637</v>
      </c>
      <c r="J15" s="441"/>
    </row>
    <row r="16" spans="1:10" ht="144" customHeight="1" thickBot="1" x14ac:dyDescent="0.6">
      <c r="A16" s="386"/>
      <c r="B16" s="398"/>
      <c r="C16" s="386"/>
      <c r="D16" s="386"/>
      <c r="E16" s="390"/>
      <c r="F16" s="388"/>
      <c r="G16" s="389"/>
      <c r="H16" s="391"/>
      <c r="I16" s="386"/>
      <c r="J16" s="386"/>
    </row>
    <row r="17" spans="1:10" s="250" customFormat="1" ht="324" customHeight="1" thickTop="1" x14ac:dyDescent="1.35">
      <c r="A17" s="270"/>
      <c r="B17" s="136" t="s">
        <v>127</v>
      </c>
      <c r="C17" s="137" t="s">
        <v>115</v>
      </c>
      <c r="D17" s="137" t="s">
        <v>179</v>
      </c>
      <c r="E17" s="137" t="s">
        <v>116</v>
      </c>
      <c r="F17" s="138" t="s">
        <v>180</v>
      </c>
      <c r="G17" s="139" t="s">
        <v>211</v>
      </c>
      <c r="H17" s="271"/>
      <c r="I17" s="447"/>
      <c r="J17" s="150"/>
    </row>
    <row r="18" spans="1:10" ht="288.75" customHeight="1" thickBot="1" x14ac:dyDescent="0.6">
      <c r="A18" s="161"/>
      <c r="B18" s="140">
        <f>$G$3</f>
        <v>1637717</v>
      </c>
      <c r="C18" s="141">
        <f>SUMIF(A4:A15,B1,E4:E$15)</f>
        <v>463415</v>
      </c>
      <c r="D18" s="141">
        <f>SUMIF(A4:A15,B1,F4:$F$15)</f>
        <v>1361400</v>
      </c>
      <c r="E18" s="141">
        <f>SUMIF(A3:A15,A1,E3:$E$15)</f>
        <v>0</v>
      </c>
      <c r="F18" s="141">
        <f>SUMIF(A3:A15,A1,F3:$F$15)</f>
        <v>0</v>
      </c>
      <c r="G18" s="142">
        <f>+B18+C18+E18-D18-F18</f>
        <v>739732</v>
      </c>
      <c r="H18" s="164"/>
      <c r="I18" s="180"/>
      <c r="J18" s="180"/>
    </row>
    <row r="19" spans="1:10" ht="316.5" customHeight="1" thickTop="1" x14ac:dyDescent="0.55000000000000004">
      <c r="A19" s="161"/>
      <c r="B19" s="262"/>
      <c r="C19" s="259">
        <f>+B18+C18-D18</f>
        <v>739732</v>
      </c>
      <c r="D19" s="566" t="s">
        <v>181</v>
      </c>
      <c r="E19" s="566"/>
      <c r="F19" s="566"/>
      <c r="G19" s="264"/>
      <c r="H19" s="164"/>
      <c r="I19" s="161"/>
      <c r="J19" s="161"/>
    </row>
    <row r="20" spans="1:10" s="250" customFormat="1" ht="144" customHeight="1" x14ac:dyDescent="1.35">
      <c r="A20" s="262"/>
      <c r="B20" s="262"/>
      <c r="C20" s="273"/>
      <c r="D20" s="567" t="s">
        <v>278</v>
      </c>
      <c r="E20" s="567"/>
      <c r="F20" s="567"/>
      <c r="G20" s="264"/>
      <c r="H20" s="272"/>
      <c r="I20" s="262"/>
      <c r="J20" s="262"/>
    </row>
    <row r="21" spans="1:10" s="250" customFormat="1" ht="144" customHeight="1" x14ac:dyDescent="1.35">
      <c r="A21" s="262"/>
      <c r="B21" s="262"/>
      <c r="C21" s="273"/>
      <c r="D21" s="274" t="s">
        <v>279</v>
      </c>
      <c r="E21" s="274" t="s">
        <v>280</v>
      </c>
      <c r="F21" s="274" t="s">
        <v>281</v>
      </c>
      <c r="G21" s="264"/>
      <c r="H21" s="272"/>
      <c r="I21" s="262"/>
      <c r="J21" s="262"/>
    </row>
    <row r="22" spans="1:10" ht="144" customHeight="1" x14ac:dyDescent="0.55000000000000004">
      <c r="A22" s="161"/>
      <c r="B22" s="161"/>
      <c r="C22" s="161"/>
      <c r="D22" s="275">
        <v>2747</v>
      </c>
      <c r="E22" s="276">
        <v>200</v>
      </c>
      <c r="F22" s="276">
        <f>+E22*D22</f>
        <v>549400</v>
      </c>
      <c r="G22" s="163"/>
      <c r="H22" s="164"/>
      <c r="I22" s="161"/>
      <c r="J22" s="161"/>
    </row>
    <row r="23" spans="1:10" ht="144" customHeight="1" x14ac:dyDescent="0.55000000000000004">
      <c r="A23" s="161"/>
      <c r="B23" s="161"/>
      <c r="C23" s="161"/>
      <c r="D23" s="275">
        <v>1302</v>
      </c>
      <c r="E23" s="276">
        <v>100</v>
      </c>
      <c r="F23" s="276">
        <f t="shared" ref="F23:F28" si="1">+E23*D23</f>
        <v>130200</v>
      </c>
      <c r="G23" s="163"/>
      <c r="H23" s="164"/>
      <c r="I23" s="161"/>
      <c r="J23" s="161"/>
    </row>
    <row r="24" spans="1:10" ht="144" customHeight="1" x14ac:dyDescent="0.55000000000000004">
      <c r="A24" s="161"/>
      <c r="B24" s="161"/>
      <c r="C24" s="161"/>
      <c r="D24" s="275">
        <v>1051</v>
      </c>
      <c r="E24" s="276">
        <v>50</v>
      </c>
      <c r="F24" s="276">
        <f t="shared" si="1"/>
        <v>52550</v>
      </c>
      <c r="G24" s="163"/>
      <c r="H24" s="164"/>
      <c r="I24" s="161"/>
      <c r="J24" s="161"/>
    </row>
    <row r="25" spans="1:10" ht="144" customHeight="1" x14ac:dyDescent="0.55000000000000004">
      <c r="A25" s="161"/>
      <c r="B25" s="161"/>
      <c r="C25" s="161"/>
      <c r="D25" s="275">
        <v>347</v>
      </c>
      <c r="E25" s="276">
        <v>20</v>
      </c>
      <c r="F25" s="276">
        <f t="shared" si="1"/>
        <v>6940</v>
      </c>
      <c r="G25" s="163"/>
      <c r="H25" s="164"/>
      <c r="I25" s="161"/>
      <c r="J25" s="161"/>
    </row>
    <row r="26" spans="1:10" ht="144" customHeight="1" x14ac:dyDescent="0.55000000000000004">
      <c r="A26" s="161"/>
      <c r="B26" s="161"/>
      <c r="C26" s="161"/>
      <c r="D26" s="275">
        <v>34</v>
      </c>
      <c r="E26" s="276">
        <v>10</v>
      </c>
      <c r="F26" s="276">
        <f t="shared" si="1"/>
        <v>340</v>
      </c>
      <c r="G26" s="163"/>
      <c r="H26" s="164"/>
      <c r="I26" s="161"/>
      <c r="J26" s="161"/>
    </row>
    <row r="27" spans="1:10" ht="144" customHeight="1" x14ac:dyDescent="0.55000000000000004">
      <c r="A27" s="161"/>
      <c r="B27" s="161"/>
      <c r="C27" s="161"/>
      <c r="D27" s="275">
        <v>62</v>
      </c>
      <c r="E27" s="276">
        <v>5</v>
      </c>
      <c r="F27" s="276">
        <f t="shared" si="1"/>
        <v>310</v>
      </c>
      <c r="G27" s="163"/>
      <c r="H27" s="164"/>
      <c r="I27" s="161"/>
      <c r="J27" s="161"/>
    </row>
    <row r="28" spans="1:10" ht="144" customHeight="1" thickBot="1" x14ac:dyDescent="0.6">
      <c r="A28" s="161"/>
      <c r="B28" s="161"/>
      <c r="C28" s="161"/>
      <c r="D28" s="275">
        <v>2</v>
      </c>
      <c r="E28" s="276">
        <v>1</v>
      </c>
      <c r="F28" s="276">
        <f t="shared" si="1"/>
        <v>2</v>
      </c>
      <c r="G28" s="163"/>
      <c r="H28" s="164"/>
      <c r="I28" s="161"/>
      <c r="J28" s="161"/>
    </row>
    <row r="29" spans="1:10" s="250" customFormat="1" ht="196.5" customHeight="1" x14ac:dyDescent="1.35">
      <c r="A29" s="262"/>
      <c r="B29" s="262"/>
      <c r="C29" s="262"/>
      <c r="D29" s="572" t="s">
        <v>283</v>
      </c>
      <c r="E29" s="573"/>
      <c r="F29" s="281">
        <f>SUM(F22:F28)</f>
        <v>739742</v>
      </c>
      <c r="G29" s="264"/>
      <c r="H29" s="272"/>
      <c r="I29" s="262"/>
      <c r="J29" s="262"/>
    </row>
    <row r="30" spans="1:10" s="250" customFormat="1" ht="196.5" customHeight="1" x14ac:dyDescent="1.35">
      <c r="A30" s="262"/>
      <c r="B30" s="262"/>
      <c r="C30" s="262"/>
      <c r="D30" s="574" t="s">
        <v>282</v>
      </c>
      <c r="E30" s="575"/>
      <c r="F30" s="284">
        <f>C19</f>
        <v>739732</v>
      </c>
      <c r="G30" s="264"/>
      <c r="H30" s="272"/>
      <c r="I30" s="262"/>
      <c r="J30" s="262"/>
    </row>
    <row r="31" spans="1:10" s="250" customFormat="1" ht="196.5" customHeight="1" thickBot="1" x14ac:dyDescent="1.4">
      <c r="A31" s="262"/>
      <c r="B31" s="262"/>
      <c r="C31" s="262"/>
      <c r="D31" s="576" t="s">
        <v>284</v>
      </c>
      <c r="E31" s="577"/>
      <c r="F31" s="287">
        <f>+F29-F30</f>
        <v>10</v>
      </c>
      <c r="G31" s="264"/>
      <c r="H31" s="272"/>
      <c r="I31" s="262"/>
      <c r="J31" s="262"/>
    </row>
  </sheetData>
  <mergeCells count="5">
    <mergeCell ref="D19:F19"/>
    <mergeCell ref="D20:F20"/>
    <mergeCell ref="D29:E29"/>
    <mergeCell ref="D30:E30"/>
    <mergeCell ref="D31:E31"/>
  </mergeCells>
  <conditionalFormatting sqref="A1 A15">
    <cfRule type="cellIs" dxfId="83" priority="9" operator="equal">
      <formula>#REF!</formula>
    </cfRule>
  </conditionalFormatting>
  <conditionalFormatting sqref="A2:A5 A16:A22 A29:A31">
    <cfRule type="cellIs" dxfId="82" priority="11" operator="equal">
      <formula>#REF!</formula>
    </cfRule>
  </conditionalFormatting>
  <conditionalFormatting sqref="A6:A14">
    <cfRule type="cellIs" dxfId="81" priority="1" operator="equal">
      <formula>#REF!</formula>
    </cfRule>
  </conditionalFormatting>
  <conditionalFormatting sqref="A23:A28">
    <cfRule type="cellIs" dxfId="80" priority="2" operator="equal">
      <formula>#REF!</formula>
    </cfRule>
  </conditionalFormatting>
  <conditionalFormatting sqref="B1">
    <cfRule type="cellIs" dxfId="79" priority="8" operator="equal">
      <formula>#REF!</formula>
    </cfRule>
  </conditionalFormatting>
  <conditionalFormatting sqref="C2:D2">
    <cfRule type="duplicateValues" dxfId="78" priority="10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1" manualBreakCount="1">
    <brk id="19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J34"/>
  <sheetViews>
    <sheetView rightToLeft="1" view="pageBreakPreview" zoomScale="10" zoomScaleNormal="10" zoomScaleSheetLayoutView="10" workbookViewId="0">
      <pane ySplit="2" topLeftCell="A3" activePane="bottomLeft" state="frozen"/>
      <selection activeCell="A2" sqref="A2"/>
      <selection pane="bottomLeft" activeCell="A4" sqref="A4:J18"/>
    </sheetView>
  </sheetViews>
  <sheetFormatPr defaultColWidth="42.85546875" defaultRowHeight="258.75" customHeight="1" x14ac:dyDescent="0.55000000000000004"/>
  <cols>
    <col min="1" max="1" width="69.7109375" style="334" customWidth="1"/>
    <col min="2" max="2" width="120.140625" style="334" bestFit="1" customWidth="1"/>
    <col min="3" max="3" width="133.8554687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86.42578125" style="334" customWidth="1"/>
    <col min="9" max="9" width="240.5703125" style="334" customWidth="1"/>
    <col min="10" max="10" width="71.7109375" style="334" customWidth="1"/>
    <col min="11" max="16384" width="42.85546875" style="334"/>
  </cols>
  <sheetData>
    <row r="1" spans="1:10" ht="258.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258.75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191.25" customHeight="1" x14ac:dyDescent="0.9">
      <c r="A3" s="262"/>
      <c r="B3" s="263"/>
      <c r="C3" s="262"/>
      <c r="D3" s="262"/>
      <c r="E3" s="264"/>
      <c r="F3" s="264"/>
      <c r="G3" s="265">
        <v>739732</v>
      </c>
      <c r="H3" s="265" t="s">
        <v>129</v>
      </c>
      <c r="I3" s="262"/>
      <c r="J3" s="262"/>
    </row>
    <row r="4" spans="1:10" s="218" customFormat="1" ht="258.75" customHeight="1" x14ac:dyDescent="0.9">
      <c r="A4" s="426" t="s">
        <v>113</v>
      </c>
      <c r="B4" s="427">
        <v>45238</v>
      </c>
      <c r="C4" s="426">
        <v>1768</v>
      </c>
      <c r="D4" s="426"/>
      <c r="E4" s="428"/>
      <c r="F4" s="428">
        <v>500000</v>
      </c>
      <c r="G4" s="429">
        <f>G3+E4-F4</f>
        <v>239732</v>
      </c>
      <c r="H4" s="426" t="s">
        <v>199</v>
      </c>
      <c r="I4" s="430" t="s">
        <v>656</v>
      </c>
      <c r="J4" s="426"/>
    </row>
    <row r="5" spans="1:10" s="425" customFormat="1" ht="258.75" customHeight="1" x14ac:dyDescent="0.9">
      <c r="A5" s="431" t="s">
        <v>113</v>
      </c>
      <c r="B5" s="432">
        <v>45238</v>
      </c>
      <c r="C5" s="431">
        <v>1769</v>
      </c>
      <c r="D5" s="431"/>
      <c r="E5" s="433"/>
      <c r="F5" s="433">
        <v>950</v>
      </c>
      <c r="G5" s="434">
        <f t="shared" ref="G5:G18" si="0">G4+E5-F5</f>
        <v>238782</v>
      </c>
      <c r="H5" s="431" t="s">
        <v>308</v>
      </c>
      <c r="I5" s="435" t="s">
        <v>639</v>
      </c>
      <c r="J5" s="431"/>
    </row>
    <row r="6" spans="1:10" s="218" customFormat="1" ht="258.75" customHeight="1" x14ac:dyDescent="0.9">
      <c r="A6" s="426" t="s">
        <v>113</v>
      </c>
      <c r="B6" s="427">
        <v>45238</v>
      </c>
      <c r="C6" s="426">
        <v>1770</v>
      </c>
      <c r="D6" s="426"/>
      <c r="E6" s="428"/>
      <c r="F6" s="428">
        <v>40000</v>
      </c>
      <c r="G6" s="429">
        <f t="shared" si="0"/>
        <v>198782</v>
      </c>
      <c r="H6" s="426" t="s">
        <v>640</v>
      </c>
      <c r="I6" s="430" t="s">
        <v>641</v>
      </c>
      <c r="J6" s="426"/>
    </row>
    <row r="7" spans="1:10" s="425" customFormat="1" ht="258.75" customHeight="1" x14ac:dyDescent="0.9">
      <c r="A7" s="431" t="s">
        <v>113</v>
      </c>
      <c r="B7" s="432">
        <v>45238</v>
      </c>
      <c r="C7" s="431">
        <v>1771</v>
      </c>
      <c r="D7" s="431"/>
      <c r="E7" s="433"/>
      <c r="F7" s="433">
        <v>1100</v>
      </c>
      <c r="G7" s="434">
        <f t="shared" si="0"/>
        <v>197682</v>
      </c>
      <c r="H7" s="431" t="s">
        <v>72</v>
      </c>
      <c r="I7" s="435" t="s">
        <v>642</v>
      </c>
      <c r="J7" s="431"/>
    </row>
    <row r="8" spans="1:10" s="218" customFormat="1" ht="258.75" customHeight="1" x14ac:dyDescent="0.9">
      <c r="A8" s="426" t="s">
        <v>113</v>
      </c>
      <c r="B8" s="427">
        <v>45238</v>
      </c>
      <c r="C8" s="426">
        <v>1772</v>
      </c>
      <c r="D8" s="426"/>
      <c r="E8" s="428"/>
      <c r="F8" s="428">
        <v>20000</v>
      </c>
      <c r="G8" s="429">
        <f t="shared" si="0"/>
        <v>177682</v>
      </c>
      <c r="H8" s="426" t="s">
        <v>71</v>
      </c>
      <c r="I8" s="430" t="s">
        <v>77</v>
      </c>
      <c r="J8" s="426"/>
    </row>
    <row r="9" spans="1:10" s="425" customFormat="1" ht="258.75" customHeight="1" x14ac:dyDescent="0.9">
      <c r="A9" s="431" t="s">
        <v>113</v>
      </c>
      <c r="B9" s="432">
        <v>45238</v>
      </c>
      <c r="C9" s="431">
        <v>1773</v>
      </c>
      <c r="D9" s="431"/>
      <c r="E9" s="433"/>
      <c r="F9" s="433">
        <v>565</v>
      </c>
      <c r="G9" s="434">
        <f t="shared" si="0"/>
        <v>177117</v>
      </c>
      <c r="H9" s="431" t="s">
        <v>72</v>
      </c>
      <c r="I9" s="435" t="s">
        <v>643</v>
      </c>
      <c r="J9" s="431"/>
    </row>
    <row r="10" spans="1:10" s="218" customFormat="1" ht="408.75" customHeight="1" x14ac:dyDescent="0.9">
      <c r="A10" s="426" t="s">
        <v>113</v>
      </c>
      <c r="B10" s="427">
        <v>45238</v>
      </c>
      <c r="C10" s="426">
        <v>1774</v>
      </c>
      <c r="D10" s="426"/>
      <c r="E10" s="428"/>
      <c r="F10" s="428">
        <v>12550</v>
      </c>
      <c r="G10" s="429">
        <f t="shared" si="0"/>
        <v>164567</v>
      </c>
      <c r="H10" s="426" t="s">
        <v>644</v>
      </c>
      <c r="I10" s="448" t="s">
        <v>645</v>
      </c>
      <c r="J10" s="426"/>
    </row>
    <row r="11" spans="1:10" s="425" customFormat="1" ht="408.75" customHeight="1" x14ac:dyDescent="0.9">
      <c r="A11" s="431" t="s">
        <v>113</v>
      </c>
      <c r="B11" s="432">
        <v>45238</v>
      </c>
      <c r="C11" s="431">
        <v>1775</v>
      </c>
      <c r="D11" s="431"/>
      <c r="E11" s="433"/>
      <c r="F11" s="433">
        <v>3300</v>
      </c>
      <c r="G11" s="434">
        <f t="shared" si="0"/>
        <v>161267</v>
      </c>
      <c r="H11" s="431" t="s">
        <v>538</v>
      </c>
      <c r="I11" s="449" t="s">
        <v>646</v>
      </c>
      <c r="J11" s="431"/>
    </row>
    <row r="12" spans="1:10" s="218" customFormat="1" ht="258.75" customHeight="1" x14ac:dyDescent="0.9">
      <c r="A12" s="426" t="s">
        <v>113</v>
      </c>
      <c r="B12" s="427">
        <v>45238</v>
      </c>
      <c r="C12" s="426">
        <v>1776</v>
      </c>
      <c r="D12" s="426"/>
      <c r="E12" s="428"/>
      <c r="F12" s="428">
        <v>4000</v>
      </c>
      <c r="G12" s="429">
        <f t="shared" si="0"/>
        <v>157267</v>
      </c>
      <c r="H12" s="426" t="s">
        <v>647</v>
      </c>
      <c r="I12" s="430" t="s">
        <v>648</v>
      </c>
      <c r="J12" s="426"/>
    </row>
    <row r="13" spans="1:10" s="425" customFormat="1" ht="258.75" customHeight="1" x14ac:dyDescent="0.9">
      <c r="A13" s="431" t="s">
        <v>113</v>
      </c>
      <c r="B13" s="432">
        <v>45238</v>
      </c>
      <c r="C13" s="431">
        <v>1777</v>
      </c>
      <c r="D13" s="431"/>
      <c r="E13" s="433"/>
      <c r="F13" s="433">
        <v>15000</v>
      </c>
      <c r="G13" s="434">
        <f t="shared" si="0"/>
        <v>142267</v>
      </c>
      <c r="H13" s="431" t="s">
        <v>640</v>
      </c>
      <c r="I13" s="435" t="s">
        <v>77</v>
      </c>
      <c r="J13" s="431"/>
    </row>
    <row r="14" spans="1:10" s="218" customFormat="1" ht="258.75" customHeight="1" x14ac:dyDescent="0.9">
      <c r="A14" s="426" t="s">
        <v>113</v>
      </c>
      <c r="B14" s="427">
        <v>45238</v>
      </c>
      <c r="C14" s="426">
        <v>1778</v>
      </c>
      <c r="D14" s="426"/>
      <c r="E14" s="428"/>
      <c r="F14" s="428">
        <v>5000</v>
      </c>
      <c r="G14" s="429">
        <f t="shared" si="0"/>
        <v>137267</v>
      </c>
      <c r="H14" s="426" t="s">
        <v>386</v>
      </c>
      <c r="I14" s="430" t="s">
        <v>653</v>
      </c>
      <c r="J14" s="426"/>
    </row>
    <row r="15" spans="1:10" s="425" customFormat="1" ht="258.75" customHeight="1" x14ac:dyDescent="0.9">
      <c r="A15" s="431" t="s">
        <v>113</v>
      </c>
      <c r="B15" s="432">
        <v>45238</v>
      </c>
      <c r="C15" s="431">
        <v>1779</v>
      </c>
      <c r="D15" s="431"/>
      <c r="E15" s="433"/>
      <c r="F15" s="433">
        <v>100</v>
      </c>
      <c r="G15" s="434">
        <f t="shared" si="0"/>
        <v>137167</v>
      </c>
      <c r="H15" s="431" t="s">
        <v>225</v>
      </c>
      <c r="I15" s="435" t="s">
        <v>654</v>
      </c>
      <c r="J15" s="431"/>
    </row>
    <row r="16" spans="1:10" s="446" customFormat="1" ht="258.75" customHeight="1" x14ac:dyDescent="0.9">
      <c r="A16" s="441" t="s">
        <v>113</v>
      </c>
      <c r="B16" s="442"/>
      <c r="C16" s="441"/>
      <c r="D16" s="441"/>
      <c r="E16" s="443">
        <v>3000</v>
      </c>
      <c r="F16" s="443"/>
      <c r="G16" s="444">
        <f t="shared" si="0"/>
        <v>140167</v>
      </c>
      <c r="H16" s="441" t="s">
        <v>538</v>
      </c>
      <c r="I16" s="445" t="s">
        <v>655</v>
      </c>
      <c r="J16" s="441"/>
    </row>
    <row r="17" spans="1:10" s="218" customFormat="1" ht="258.75" customHeight="1" x14ac:dyDescent="0.9">
      <c r="A17" s="426" t="s">
        <v>113</v>
      </c>
      <c r="B17" s="427">
        <v>45238</v>
      </c>
      <c r="C17" s="426"/>
      <c r="D17" s="426">
        <v>1249</v>
      </c>
      <c r="E17" s="428">
        <v>20000</v>
      </c>
      <c r="F17" s="428"/>
      <c r="G17" s="434">
        <f t="shared" si="0"/>
        <v>160167</v>
      </c>
      <c r="H17" s="426" t="s">
        <v>649</v>
      </c>
      <c r="I17" s="430" t="s">
        <v>650</v>
      </c>
      <c r="J17" s="426"/>
    </row>
    <row r="18" spans="1:10" s="425" customFormat="1" ht="258.75" customHeight="1" x14ac:dyDescent="0.9">
      <c r="A18" s="431" t="s">
        <v>113</v>
      </c>
      <c r="B18" s="432">
        <v>45238</v>
      </c>
      <c r="C18" s="431"/>
      <c r="D18" s="431">
        <v>1250</v>
      </c>
      <c r="E18" s="433">
        <v>1000000</v>
      </c>
      <c r="F18" s="433"/>
      <c r="G18" s="434">
        <f t="shared" si="0"/>
        <v>1160167</v>
      </c>
      <c r="H18" s="431" t="s">
        <v>651</v>
      </c>
      <c r="I18" s="435" t="s">
        <v>652</v>
      </c>
      <c r="J18" s="431"/>
    </row>
    <row r="19" spans="1:10" ht="258.75" customHeight="1" thickBot="1" x14ac:dyDescent="0.6">
      <c r="A19" s="386"/>
      <c r="B19" s="398"/>
      <c r="C19" s="386"/>
      <c r="D19" s="386"/>
      <c r="E19" s="390"/>
      <c r="F19" s="388"/>
      <c r="G19" s="389"/>
      <c r="H19" s="391"/>
      <c r="I19" s="386"/>
      <c r="J19" s="386"/>
    </row>
    <row r="20" spans="1:10" s="250" customFormat="1" ht="258.75" customHeight="1" thickTop="1" x14ac:dyDescent="1.35">
      <c r="A20" s="270"/>
      <c r="B20" s="136" t="s">
        <v>127</v>
      </c>
      <c r="C20" s="137" t="s">
        <v>115</v>
      </c>
      <c r="D20" s="137" t="s">
        <v>179</v>
      </c>
      <c r="E20" s="137" t="s">
        <v>116</v>
      </c>
      <c r="F20" s="138" t="s">
        <v>180</v>
      </c>
      <c r="G20" s="139" t="s">
        <v>211</v>
      </c>
      <c r="H20" s="271"/>
      <c r="I20" s="447"/>
      <c r="J20" s="150"/>
    </row>
    <row r="21" spans="1:10" ht="326.25" customHeight="1" thickBot="1" x14ac:dyDescent="0.6">
      <c r="A21" s="161"/>
      <c r="B21" s="140">
        <f>$G$3</f>
        <v>739732</v>
      </c>
      <c r="C21" s="141">
        <f>SUMIF(A4:A18,B1,E4:E$18)</f>
        <v>1023000</v>
      </c>
      <c r="D21" s="141">
        <f>SUMIF(A4:A18,B1,F4:$F$18)</f>
        <v>602565</v>
      </c>
      <c r="E21" s="141">
        <f>SUMIF(A3:A18,A1,E3:$E$18)</f>
        <v>0</v>
      </c>
      <c r="F21" s="141">
        <f>SUMIF(A3:A18,A1,F3:$F$18)</f>
        <v>0</v>
      </c>
      <c r="G21" s="142">
        <f>+B21+C21+E21-D21-F21</f>
        <v>1160167</v>
      </c>
      <c r="H21" s="164"/>
      <c r="I21" s="180"/>
      <c r="J21" s="180"/>
    </row>
    <row r="22" spans="1:10" ht="258.75" customHeight="1" thickTop="1" x14ac:dyDescent="0.55000000000000004">
      <c r="A22" s="161"/>
      <c r="B22" s="262"/>
      <c r="C22" s="259">
        <f>+B21+C21-D21</f>
        <v>1160167</v>
      </c>
      <c r="D22" s="566" t="s">
        <v>181</v>
      </c>
      <c r="E22" s="566"/>
      <c r="F22" s="566"/>
      <c r="G22" s="264"/>
      <c r="H22" s="164"/>
      <c r="I22" s="161"/>
      <c r="J22" s="161"/>
    </row>
    <row r="23" spans="1:10" s="250" customFormat="1" ht="258.75" customHeight="1" x14ac:dyDescent="1.35">
      <c r="A23" s="262"/>
      <c r="B23" s="262"/>
      <c r="C23" s="273"/>
      <c r="D23" s="567" t="s">
        <v>278</v>
      </c>
      <c r="E23" s="567"/>
      <c r="F23" s="567"/>
      <c r="G23" s="264"/>
      <c r="H23" s="272"/>
      <c r="I23" s="262"/>
      <c r="J23" s="262"/>
    </row>
    <row r="24" spans="1:10" s="250" customFormat="1" ht="258.75" customHeight="1" x14ac:dyDescent="1.35">
      <c r="A24" s="262"/>
      <c r="B24" s="262"/>
      <c r="C24" s="273"/>
      <c r="D24" s="274" t="s">
        <v>279</v>
      </c>
      <c r="E24" s="274" t="s">
        <v>280</v>
      </c>
      <c r="F24" s="274" t="s">
        <v>281</v>
      </c>
      <c r="G24" s="264"/>
      <c r="H24" s="272"/>
      <c r="I24" s="262"/>
      <c r="J24" s="262"/>
    </row>
    <row r="25" spans="1:10" ht="258.75" customHeight="1" x14ac:dyDescent="0.55000000000000004">
      <c r="A25" s="161"/>
      <c r="B25" s="161"/>
      <c r="C25" s="161"/>
      <c r="D25" s="275">
        <v>2535</v>
      </c>
      <c r="E25" s="276">
        <v>200</v>
      </c>
      <c r="F25" s="276">
        <f>+E25*D25</f>
        <v>507000</v>
      </c>
      <c r="G25" s="163"/>
      <c r="H25" s="164"/>
      <c r="I25" s="161"/>
      <c r="J25" s="161"/>
    </row>
    <row r="26" spans="1:10" ht="258.75" customHeight="1" x14ac:dyDescent="0.55000000000000004">
      <c r="A26" s="161"/>
      <c r="B26" s="161"/>
      <c r="C26" s="161"/>
      <c r="D26" s="275">
        <v>6455</v>
      </c>
      <c r="E26" s="276">
        <v>100</v>
      </c>
      <c r="F26" s="276">
        <f t="shared" ref="F26:F31" si="1">+E26*D26</f>
        <v>645500</v>
      </c>
      <c r="G26" s="163"/>
      <c r="H26" s="164"/>
      <c r="I26" s="161"/>
      <c r="J26" s="161"/>
    </row>
    <row r="27" spans="1:10" ht="258.75" customHeight="1" x14ac:dyDescent="0.55000000000000004">
      <c r="A27" s="161"/>
      <c r="B27" s="161"/>
      <c r="C27" s="161"/>
      <c r="D27" s="275">
        <v>4</v>
      </c>
      <c r="E27" s="276">
        <v>50</v>
      </c>
      <c r="F27" s="276">
        <f t="shared" si="1"/>
        <v>200</v>
      </c>
      <c r="G27" s="163"/>
      <c r="H27" s="164"/>
      <c r="I27" s="161"/>
      <c r="J27" s="161"/>
    </row>
    <row r="28" spans="1:10" ht="258.75" customHeight="1" x14ac:dyDescent="0.55000000000000004">
      <c r="A28" s="161"/>
      <c r="B28" s="161"/>
      <c r="C28" s="161"/>
      <c r="D28" s="275">
        <v>345</v>
      </c>
      <c r="E28" s="276">
        <v>20</v>
      </c>
      <c r="F28" s="276">
        <f t="shared" si="1"/>
        <v>6900</v>
      </c>
      <c r="G28" s="163"/>
      <c r="H28" s="164"/>
      <c r="I28" s="161"/>
      <c r="J28" s="161"/>
    </row>
    <row r="29" spans="1:10" ht="258.75" customHeight="1" x14ac:dyDescent="0.55000000000000004">
      <c r="A29" s="161"/>
      <c r="B29" s="161"/>
      <c r="C29" s="161"/>
      <c r="D29" s="275">
        <v>30</v>
      </c>
      <c r="E29" s="276">
        <v>10</v>
      </c>
      <c r="F29" s="276">
        <f t="shared" si="1"/>
        <v>300</v>
      </c>
      <c r="G29" s="163"/>
      <c r="H29" s="164"/>
      <c r="I29" s="161"/>
      <c r="J29" s="161"/>
    </row>
    <row r="30" spans="1:10" ht="258.75" customHeight="1" x14ac:dyDescent="0.55000000000000004">
      <c r="A30" s="161"/>
      <c r="B30" s="161"/>
      <c r="C30" s="161"/>
      <c r="D30" s="275">
        <v>55</v>
      </c>
      <c r="E30" s="276">
        <v>5</v>
      </c>
      <c r="F30" s="276">
        <f t="shared" si="1"/>
        <v>275</v>
      </c>
      <c r="G30" s="163"/>
      <c r="H30" s="164"/>
      <c r="I30" s="161"/>
      <c r="J30" s="161"/>
    </row>
    <row r="31" spans="1:10" ht="258.75" customHeight="1" thickBot="1" x14ac:dyDescent="0.6">
      <c r="A31" s="161"/>
      <c r="B31" s="161"/>
      <c r="C31" s="161"/>
      <c r="D31" s="275">
        <v>2</v>
      </c>
      <c r="E31" s="276">
        <v>1</v>
      </c>
      <c r="F31" s="276">
        <f t="shared" si="1"/>
        <v>2</v>
      </c>
      <c r="G31" s="163"/>
      <c r="H31" s="164"/>
      <c r="I31" s="161"/>
      <c r="J31" s="161"/>
    </row>
    <row r="32" spans="1:10" s="250" customFormat="1" ht="258.75" customHeight="1" x14ac:dyDescent="1.35">
      <c r="A32" s="262"/>
      <c r="B32" s="262"/>
      <c r="C32" s="262"/>
      <c r="D32" s="572" t="s">
        <v>283</v>
      </c>
      <c r="E32" s="573"/>
      <c r="F32" s="281">
        <f>SUM(F25:F31)</f>
        <v>1160177</v>
      </c>
      <c r="G32" s="264"/>
      <c r="H32" s="272"/>
      <c r="I32" s="262"/>
      <c r="J32" s="262"/>
    </row>
    <row r="33" spans="1:10" s="250" customFormat="1" ht="258.75" customHeight="1" x14ac:dyDescent="1.35">
      <c r="A33" s="262"/>
      <c r="B33" s="262"/>
      <c r="C33" s="262"/>
      <c r="D33" s="574" t="s">
        <v>282</v>
      </c>
      <c r="E33" s="575"/>
      <c r="F33" s="284">
        <f>C22</f>
        <v>1160167</v>
      </c>
      <c r="G33" s="264"/>
      <c r="H33" s="272"/>
      <c r="I33" s="262"/>
      <c r="J33" s="262"/>
    </row>
    <row r="34" spans="1:10" s="250" customFormat="1" ht="258.75" customHeight="1" thickBot="1" x14ac:dyDescent="1.4">
      <c r="A34" s="262"/>
      <c r="B34" s="262"/>
      <c r="C34" s="262"/>
      <c r="D34" s="576" t="s">
        <v>284</v>
      </c>
      <c r="E34" s="577"/>
      <c r="F34" s="287">
        <f>+F32-F33</f>
        <v>10</v>
      </c>
      <c r="G34" s="264"/>
      <c r="H34" s="272"/>
      <c r="I34" s="262"/>
      <c r="J34" s="262"/>
    </row>
  </sheetData>
  <mergeCells count="5">
    <mergeCell ref="D22:F22"/>
    <mergeCell ref="D23:F23"/>
    <mergeCell ref="D32:E32"/>
    <mergeCell ref="D33:E33"/>
    <mergeCell ref="D34:E34"/>
  </mergeCells>
  <conditionalFormatting sqref="A1">
    <cfRule type="cellIs" dxfId="77" priority="5" operator="equal">
      <formula>#REF!</formula>
    </cfRule>
  </conditionalFormatting>
  <conditionalFormatting sqref="A2:A5 A19:A25 A32:A34">
    <cfRule type="cellIs" dxfId="76" priority="7" operator="equal">
      <formula>#REF!</formula>
    </cfRule>
  </conditionalFormatting>
  <conditionalFormatting sqref="A6:A18">
    <cfRule type="cellIs" dxfId="75" priority="1" operator="equal">
      <formula>#REF!</formula>
    </cfRule>
  </conditionalFormatting>
  <conditionalFormatting sqref="A26:A31">
    <cfRule type="cellIs" dxfId="74" priority="3" operator="equal">
      <formula>#REF!</formula>
    </cfRule>
  </conditionalFormatting>
  <conditionalFormatting sqref="B1">
    <cfRule type="cellIs" dxfId="73" priority="4" operator="equal">
      <formula>#REF!</formula>
    </cfRule>
  </conditionalFormatting>
  <conditionalFormatting sqref="C2:D2">
    <cfRule type="duplicateValues" dxfId="72" priority="6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1" manualBreakCount="1">
    <brk id="22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J31"/>
  <sheetViews>
    <sheetView rightToLeft="1" view="pageBreakPreview" zoomScale="10" zoomScaleNormal="10" zoomScaleSheetLayoutView="10" workbookViewId="0">
      <pane ySplit="2" topLeftCell="A3" activePane="bottomLeft" state="frozen"/>
      <selection activeCell="A2" sqref="A2"/>
      <selection pane="bottomLeft" activeCell="A4" sqref="A4:I15"/>
    </sheetView>
  </sheetViews>
  <sheetFormatPr defaultColWidth="42.85546875" defaultRowHeight="258.75" customHeight="1" x14ac:dyDescent="0.55000000000000004"/>
  <cols>
    <col min="1" max="1" width="69.7109375" style="334" customWidth="1"/>
    <col min="2" max="2" width="120.140625" style="334" bestFit="1" customWidth="1"/>
    <col min="3" max="3" width="133.8554687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86.42578125" style="334" customWidth="1"/>
    <col min="9" max="9" width="243.140625" style="334" customWidth="1"/>
    <col min="10" max="10" width="71.7109375" style="334" customWidth="1"/>
    <col min="11" max="16384" width="42.85546875" style="334"/>
  </cols>
  <sheetData>
    <row r="1" spans="1:10" ht="258.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258.75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168.75" customHeight="1" x14ac:dyDescent="0.9">
      <c r="A3" s="262"/>
      <c r="B3" s="263"/>
      <c r="C3" s="262"/>
      <c r="D3" s="262"/>
      <c r="E3" s="264"/>
      <c r="F3" s="264"/>
      <c r="G3" s="265">
        <v>1160167</v>
      </c>
      <c r="H3" s="265" t="s">
        <v>129</v>
      </c>
      <c r="I3" s="262"/>
      <c r="J3" s="262"/>
    </row>
    <row r="4" spans="1:10" s="250" customFormat="1" ht="219" customHeight="1" x14ac:dyDescent="1.35">
      <c r="A4" s="431" t="s">
        <v>113</v>
      </c>
      <c r="B4" s="432">
        <v>45239</v>
      </c>
      <c r="C4" s="431">
        <v>1780</v>
      </c>
      <c r="D4" s="431"/>
      <c r="E4" s="433"/>
      <c r="F4" s="433">
        <v>50000</v>
      </c>
      <c r="G4" s="434">
        <f>G3+E4-F4</f>
        <v>1110167</v>
      </c>
      <c r="H4" s="431" t="s">
        <v>366</v>
      </c>
      <c r="I4" s="431" t="s">
        <v>316</v>
      </c>
      <c r="J4" s="431"/>
    </row>
    <row r="5" spans="1:10" s="250" customFormat="1" ht="219" customHeight="1" x14ac:dyDescent="1.35">
      <c r="A5" s="426" t="s">
        <v>113</v>
      </c>
      <c r="B5" s="432">
        <v>45239</v>
      </c>
      <c r="C5" s="426">
        <v>1781</v>
      </c>
      <c r="D5" s="426"/>
      <c r="E5" s="428"/>
      <c r="F5" s="428">
        <v>500000</v>
      </c>
      <c r="G5" s="429">
        <f t="shared" ref="G5:G15" si="0">G4+E5-F5</f>
        <v>610167</v>
      </c>
      <c r="H5" s="429" t="s">
        <v>351</v>
      </c>
      <c r="I5" s="426" t="s">
        <v>657</v>
      </c>
      <c r="J5" s="426"/>
    </row>
    <row r="6" spans="1:10" s="250" customFormat="1" ht="219" customHeight="1" x14ac:dyDescent="1.35">
      <c r="A6" s="431" t="s">
        <v>113</v>
      </c>
      <c r="B6" s="432">
        <v>45239</v>
      </c>
      <c r="C6" s="431">
        <v>1782</v>
      </c>
      <c r="D6" s="431"/>
      <c r="E6" s="433"/>
      <c r="F6" s="433">
        <v>1000</v>
      </c>
      <c r="G6" s="434">
        <f t="shared" si="0"/>
        <v>609167</v>
      </c>
      <c r="H6" s="431" t="s">
        <v>223</v>
      </c>
      <c r="I6" s="431" t="s">
        <v>224</v>
      </c>
      <c r="J6" s="431"/>
    </row>
    <row r="7" spans="1:10" s="250" customFormat="1" ht="219" customHeight="1" x14ac:dyDescent="1.35">
      <c r="A7" s="426" t="s">
        <v>113</v>
      </c>
      <c r="B7" s="432">
        <v>45239</v>
      </c>
      <c r="C7" s="426">
        <v>1783</v>
      </c>
      <c r="D7" s="426"/>
      <c r="E7" s="428"/>
      <c r="F7" s="428">
        <v>700</v>
      </c>
      <c r="G7" s="429">
        <f t="shared" si="0"/>
        <v>608467</v>
      </c>
      <c r="H7" s="429" t="s">
        <v>658</v>
      </c>
      <c r="I7" s="450" t="s">
        <v>659</v>
      </c>
      <c r="J7" s="426"/>
    </row>
    <row r="8" spans="1:10" s="250" customFormat="1" ht="219" customHeight="1" x14ac:dyDescent="1.35">
      <c r="A8" s="431" t="s">
        <v>113</v>
      </c>
      <c r="B8" s="432">
        <v>45239</v>
      </c>
      <c r="C8" s="431">
        <v>1784</v>
      </c>
      <c r="D8" s="431"/>
      <c r="E8" s="433"/>
      <c r="F8" s="433">
        <v>2000</v>
      </c>
      <c r="G8" s="434">
        <f t="shared" si="0"/>
        <v>606467</v>
      </c>
      <c r="H8" s="431" t="s">
        <v>470</v>
      </c>
      <c r="I8" s="431" t="s">
        <v>660</v>
      </c>
      <c r="J8" s="431"/>
    </row>
    <row r="9" spans="1:10" s="250" customFormat="1" ht="219" customHeight="1" x14ac:dyDescent="1.35">
      <c r="A9" s="426" t="s">
        <v>113</v>
      </c>
      <c r="B9" s="432">
        <v>45239</v>
      </c>
      <c r="C9" s="426">
        <v>1785</v>
      </c>
      <c r="D9" s="426"/>
      <c r="E9" s="428"/>
      <c r="F9" s="428">
        <v>9420</v>
      </c>
      <c r="G9" s="429">
        <f t="shared" si="0"/>
        <v>597047</v>
      </c>
      <c r="H9" s="429" t="s">
        <v>152</v>
      </c>
      <c r="I9" s="426" t="s">
        <v>665</v>
      </c>
      <c r="J9" s="426"/>
    </row>
    <row r="10" spans="1:10" s="250" customFormat="1" ht="219" customHeight="1" x14ac:dyDescent="1.35">
      <c r="A10" s="431" t="s">
        <v>113</v>
      </c>
      <c r="B10" s="432">
        <v>45239</v>
      </c>
      <c r="C10" s="431">
        <v>1786</v>
      </c>
      <c r="D10" s="431"/>
      <c r="E10" s="433"/>
      <c r="F10" s="433">
        <v>5000</v>
      </c>
      <c r="G10" s="434">
        <f t="shared" si="0"/>
        <v>592047</v>
      </c>
      <c r="H10" s="431" t="s">
        <v>199</v>
      </c>
      <c r="I10" s="431" t="s">
        <v>318</v>
      </c>
      <c r="J10" s="431"/>
    </row>
    <row r="11" spans="1:10" s="250" customFormat="1" ht="219" customHeight="1" x14ac:dyDescent="1.35">
      <c r="A11" s="426" t="s">
        <v>113</v>
      </c>
      <c r="B11" s="432">
        <v>45239</v>
      </c>
      <c r="C11" s="426">
        <v>1787</v>
      </c>
      <c r="D11" s="426"/>
      <c r="E11" s="428"/>
      <c r="F11" s="428">
        <v>500</v>
      </c>
      <c r="G11" s="429">
        <f t="shared" si="0"/>
        <v>591547</v>
      </c>
      <c r="H11" s="429" t="s">
        <v>225</v>
      </c>
      <c r="I11" s="426" t="s">
        <v>224</v>
      </c>
      <c r="J11" s="426"/>
    </row>
    <row r="12" spans="1:10" s="250" customFormat="1" ht="219" customHeight="1" x14ac:dyDescent="1.35">
      <c r="A12" s="431" t="s">
        <v>113</v>
      </c>
      <c r="B12" s="432">
        <v>45239</v>
      </c>
      <c r="C12" s="431">
        <v>1788</v>
      </c>
      <c r="D12" s="431"/>
      <c r="E12" s="433"/>
      <c r="F12" s="433">
        <v>10000</v>
      </c>
      <c r="G12" s="434">
        <f t="shared" si="0"/>
        <v>581547</v>
      </c>
      <c r="H12" s="431" t="s">
        <v>205</v>
      </c>
      <c r="I12" s="431" t="s">
        <v>666</v>
      </c>
      <c r="J12" s="431"/>
    </row>
    <row r="13" spans="1:10" s="250" customFormat="1" ht="219" customHeight="1" x14ac:dyDescent="1.35">
      <c r="A13" s="426" t="s">
        <v>113</v>
      </c>
      <c r="B13" s="432">
        <v>45239</v>
      </c>
      <c r="C13" s="426">
        <v>1789</v>
      </c>
      <c r="D13" s="426"/>
      <c r="E13" s="428"/>
      <c r="F13" s="428">
        <v>3000</v>
      </c>
      <c r="G13" s="429">
        <f t="shared" si="0"/>
        <v>578547</v>
      </c>
      <c r="H13" s="429" t="s">
        <v>233</v>
      </c>
      <c r="I13" s="426" t="s">
        <v>224</v>
      </c>
      <c r="J13" s="426"/>
    </row>
    <row r="14" spans="1:10" s="250" customFormat="1" ht="219" customHeight="1" x14ac:dyDescent="1.35">
      <c r="A14" s="431" t="s">
        <v>113</v>
      </c>
      <c r="B14" s="432">
        <v>45239</v>
      </c>
      <c r="C14" s="431"/>
      <c r="D14" s="431">
        <v>1252</v>
      </c>
      <c r="E14" s="433">
        <v>220000</v>
      </c>
      <c r="F14" s="433"/>
      <c r="G14" s="434">
        <f t="shared" si="0"/>
        <v>798547</v>
      </c>
      <c r="H14" s="431" t="s">
        <v>663</v>
      </c>
      <c r="I14" s="431" t="s">
        <v>664</v>
      </c>
      <c r="J14" s="431"/>
    </row>
    <row r="15" spans="1:10" s="425" customFormat="1" ht="288.75" customHeight="1" x14ac:dyDescent="0.9">
      <c r="A15" s="441" t="s">
        <v>113</v>
      </c>
      <c r="B15" s="442">
        <v>45238</v>
      </c>
      <c r="C15" s="441"/>
      <c r="D15" s="441"/>
      <c r="E15" s="443"/>
      <c r="F15" s="443">
        <v>1000</v>
      </c>
      <c r="G15" s="444">
        <f t="shared" si="0"/>
        <v>797547</v>
      </c>
      <c r="H15" s="441" t="s">
        <v>661</v>
      </c>
      <c r="I15" s="445" t="s">
        <v>662</v>
      </c>
      <c r="J15" s="441"/>
    </row>
    <row r="16" spans="1:10" ht="116.25" customHeight="1" thickBot="1" x14ac:dyDescent="0.6">
      <c r="A16" s="386"/>
      <c r="B16" s="398"/>
      <c r="C16" s="386"/>
      <c r="D16" s="386"/>
      <c r="E16" s="390"/>
      <c r="F16" s="388"/>
      <c r="G16" s="389"/>
      <c r="H16" s="391"/>
      <c r="I16" s="386"/>
      <c r="J16" s="386"/>
    </row>
    <row r="17" spans="1:10" s="250" customFormat="1" ht="333.75" customHeight="1" thickTop="1" x14ac:dyDescent="1.35">
      <c r="A17" s="270"/>
      <c r="B17" s="136" t="s">
        <v>127</v>
      </c>
      <c r="C17" s="137" t="s">
        <v>115</v>
      </c>
      <c r="D17" s="137" t="s">
        <v>179</v>
      </c>
      <c r="E17" s="137" t="s">
        <v>116</v>
      </c>
      <c r="F17" s="138" t="s">
        <v>180</v>
      </c>
      <c r="G17" s="139" t="s">
        <v>211</v>
      </c>
      <c r="H17" s="271"/>
      <c r="I17" s="447"/>
      <c r="J17" s="150"/>
    </row>
    <row r="18" spans="1:10" ht="326.25" customHeight="1" thickBot="1" x14ac:dyDescent="0.6">
      <c r="A18" s="161"/>
      <c r="B18" s="140">
        <f>$G$3</f>
        <v>1160167</v>
      </c>
      <c r="C18" s="141">
        <f>SUMIF(A4:A15,B1,E4:E$15)</f>
        <v>220000</v>
      </c>
      <c r="D18" s="141">
        <f>SUMIF(A4:A15,B1,F4:$F$15)</f>
        <v>582620</v>
      </c>
      <c r="E18" s="141">
        <f>SUMIF(A3:A15,A1,E3:$E$15)</f>
        <v>0</v>
      </c>
      <c r="F18" s="141">
        <f>SUMIF(A3:A15,A1,F3:$F$15)</f>
        <v>0</v>
      </c>
      <c r="G18" s="142">
        <f>+B18+C18+E18-D18-F18</f>
        <v>797547</v>
      </c>
      <c r="H18" s="164"/>
      <c r="I18" s="180"/>
      <c r="J18" s="180"/>
    </row>
    <row r="19" spans="1:10" ht="288.75" customHeight="1" thickTop="1" x14ac:dyDescent="0.55000000000000004">
      <c r="A19" s="161"/>
      <c r="B19" s="262"/>
      <c r="C19" s="259">
        <f>+B18+C18-D18</f>
        <v>797547</v>
      </c>
      <c r="D19" s="566" t="s">
        <v>181</v>
      </c>
      <c r="E19" s="566"/>
      <c r="F19" s="566"/>
      <c r="G19" s="264"/>
      <c r="H19" s="164"/>
      <c r="I19" s="161"/>
      <c r="J19" s="161"/>
    </row>
    <row r="20" spans="1:10" s="250" customFormat="1" ht="258.75" customHeight="1" x14ac:dyDescent="1.35">
      <c r="A20" s="262"/>
      <c r="B20" s="262"/>
      <c r="C20" s="273"/>
      <c r="D20" s="567" t="s">
        <v>278</v>
      </c>
      <c r="E20" s="567"/>
      <c r="F20" s="567"/>
      <c r="G20" s="264"/>
      <c r="H20" s="272"/>
      <c r="I20" s="262"/>
      <c r="J20" s="262"/>
    </row>
    <row r="21" spans="1:10" s="250" customFormat="1" ht="258.75" customHeight="1" x14ac:dyDescent="1.35">
      <c r="A21" s="262"/>
      <c r="B21" s="262"/>
      <c r="C21" s="273"/>
      <c r="D21" s="274" t="s">
        <v>279</v>
      </c>
      <c r="E21" s="274" t="s">
        <v>280</v>
      </c>
      <c r="F21" s="274" t="s">
        <v>281</v>
      </c>
      <c r="G21" s="264"/>
      <c r="H21" s="272"/>
      <c r="I21" s="262"/>
      <c r="J21" s="262"/>
    </row>
    <row r="22" spans="1:10" ht="258.75" customHeight="1" x14ac:dyDescent="0.55000000000000004">
      <c r="A22" s="161"/>
      <c r="B22" s="161"/>
      <c r="C22" s="161"/>
      <c r="D22" s="275">
        <v>1368</v>
      </c>
      <c r="E22" s="276">
        <v>200</v>
      </c>
      <c r="F22" s="276">
        <f>+E22*D22</f>
        <v>273600</v>
      </c>
      <c r="G22" s="163"/>
      <c r="H22" s="164"/>
      <c r="I22" s="161"/>
      <c r="J22" s="161"/>
    </row>
    <row r="23" spans="1:10" ht="258.75" customHeight="1" x14ac:dyDescent="0.55000000000000004">
      <c r="A23" s="161"/>
      <c r="B23" s="161"/>
      <c r="C23" s="161"/>
      <c r="D23" s="275">
        <v>5083</v>
      </c>
      <c r="E23" s="276">
        <v>100</v>
      </c>
      <c r="F23" s="276">
        <f t="shared" ref="F23:F28" si="1">+E23*D23</f>
        <v>508300</v>
      </c>
      <c r="G23" s="163"/>
      <c r="H23" s="164"/>
      <c r="I23" s="161"/>
      <c r="J23" s="161"/>
    </row>
    <row r="24" spans="1:10" ht="258.75" customHeight="1" x14ac:dyDescent="0.55000000000000004">
      <c r="A24" s="161"/>
      <c r="B24" s="161"/>
      <c r="C24" s="161"/>
      <c r="D24" s="275">
        <v>106</v>
      </c>
      <c r="E24" s="276">
        <v>50</v>
      </c>
      <c r="F24" s="276">
        <f t="shared" si="1"/>
        <v>5300</v>
      </c>
      <c r="G24" s="163"/>
      <c r="H24" s="164"/>
      <c r="I24" s="161"/>
      <c r="J24" s="161"/>
    </row>
    <row r="25" spans="1:10" ht="258.75" customHeight="1" x14ac:dyDescent="0.55000000000000004">
      <c r="A25" s="161"/>
      <c r="B25" s="161"/>
      <c r="C25" s="161"/>
      <c r="D25" s="275">
        <v>502</v>
      </c>
      <c r="E25" s="276">
        <v>20</v>
      </c>
      <c r="F25" s="276">
        <f t="shared" si="1"/>
        <v>10040</v>
      </c>
      <c r="G25" s="163"/>
      <c r="H25" s="164"/>
      <c r="I25" s="161"/>
      <c r="J25" s="161"/>
    </row>
    <row r="26" spans="1:10" ht="258.75" customHeight="1" x14ac:dyDescent="0.55000000000000004">
      <c r="A26" s="161"/>
      <c r="B26" s="161"/>
      <c r="C26" s="161"/>
      <c r="D26" s="275">
        <v>27</v>
      </c>
      <c r="E26" s="276">
        <v>10</v>
      </c>
      <c r="F26" s="276">
        <f t="shared" si="1"/>
        <v>270</v>
      </c>
      <c r="G26" s="163"/>
      <c r="H26" s="164"/>
      <c r="I26" s="161"/>
      <c r="J26" s="161"/>
    </row>
    <row r="27" spans="1:10" ht="258.75" customHeight="1" x14ac:dyDescent="0.55000000000000004">
      <c r="A27" s="161"/>
      <c r="B27" s="161"/>
      <c r="C27" s="161"/>
      <c r="D27" s="275">
        <v>9</v>
      </c>
      <c r="E27" s="276">
        <v>5</v>
      </c>
      <c r="F27" s="276">
        <f t="shared" si="1"/>
        <v>45</v>
      </c>
      <c r="G27" s="163"/>
      <c r="H27" s="164"/>
      <c r="I27" s="161"/>
      <c r="J27" s="161"/>
    </row>
    <row r="28" spans="1:10" ht="258.75" customHeight="1" thickBot="1" x14ac:dyDescent="0.6">
      <c r="A28" s="161"/>
      <c r="B28" s="161"/>
      <c r="C28" s="161"/>
      <c r="D28" s="275">
        <v>2</v>
      </c>
      <c r="E28" s="276">
        <v>1</v>
      </c>
      <c r="F28" s="276">
        <f t="shared" si="1"/>
        <v>2</v>
      </c>
      <c r="G28" s="163"/>
      <c r="H28" s="164"/>
      <c r="I28" s="161"/>
      <c r="J28" s="161"/>
    </row>
    <row r="29" spans="1:10" s="250" customFormat="1" ht="258.75" customHeight="1" x14ac:dyDescent="1.35">
      <c r="A29" s="262"/>
      <c r="B29" s="262"/>
      <c r="C29" s="262"/>
      <c r="D29" s="572" t="s">
        <v>283</v>
      </c>
      <c r="E29" s="573"/>
      <c r="F29" s="281">
        <f>SUM(F22:F28)</f>
        <v>797557</v>
      </c>
      <c r="G29" s="264"/>
      <c r="H29" s="272"/>
      <c r="I29" s="262"/>
      <c r="J29" s="262"/>
    </row>
    <row r="30" spans="1:10" s="250" customFormat="1" ht="258.75" customHeight="1" x14ac:dyDescent="1.35">
      <c r="A30" s="262"/>
      <c r="B30" s="262"/>
      <c r="C30" s="262"/>
      <c r="D30" s="574" t="s">
        <v>282</v>
      </c>
      <c r="E30" s="575"/>
      <c r="F30" s="284">
        <f>C19</f>
        <v>797547</v>
      </c>
      <c r="G30" s="264"/>
      <c r="H30" s="272"/>
      <c r="I30" s="262"/>
      <c r="J30" s="262"/>
    </row>
    <row r="31" spans="1:10" s="250" customFormat="1" ht="258.75" customHeight="1" thickBot="1" x14ac:dyDescent="1.4">
      <c r="A31" s="262"/>
      <c r="B31" s="262"/>
      <c r="C31" s="262"/>
      <c r="D31" s="576" t="s">
        <v>284</v>
      </c>
      <c r="E31" s="577"/>
      <c r="F31" s="287">
        <f>+F29-F30</f>
        <v>10</v>
      </c>
      <c r="G31" s="264"/>
      <c r="H31" s="272"/>
      <c r="I31" s="262"/>
      <c r="J31" s="262"/>
    </row>
  </sheetData>
  <mergeCells count="5">
    <mergeCell ref="D19:F19"/>
    <mergeCell ref="D20:F20"/>
    <mergeCell ref="D29:E29"/>
    <mergeCell ref="D30:E30"/>
    <mergeCell ref="D31:E31"/>
  </mergeCells>
  <conditionalFormatting sqref="A1">
    <cfRule type="cellIs" dxfId="71" priority="7" operator="equal">
      <formula>#REF!</formula>
    </cfRule>
  </conditionalFormatting>
  <conditionalFormatting sqref="A2:A3 A15:A22 A29:A31">
    <cfRule type="cellIs" dxfId="70" priority="9" operator="equal">
      <formula>#REF!</formula>
    </cfRule>
  </conditionalFormatting>
  <conditionalFormatting sqref="A4:A14">
    <cfRule type="cellIs" dxfId="69" priority="1" operator="equal">
      <formula>#REF!</formula>
    </cfRule>
  </conditionalFormatting>
  <conditionalFormatting sqref="A23:A28">
    <cfRule type="cellIs" dxfId="68" priority="5" operator="equal">
      <formula>#REF!</formula>
    </cfRule>
  </conditionalFormatting>
  <conditionalFormatting sqref="B1">
    <cfRule type="cellIs" dxfId="67" priority="6" operator="equal">
      <formula>#REF!</formula>
    </cfRule>
  </conditionalFormatting>
  <conditionalFormatting sqref="C2:D2">
    <cfRule type="duplicateValues" dxfId="66" priority="8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1" manualBreakCount="1">
    <brk id="19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J38"/>
  <sheetViews>
    <sheetView rightToLeft="1" view="pageBreakPreview" zoomScale="10" zoomScaleNormal="10" zoomScaleSheetLayoutView="10" workbookViewId="0">
      <pane ySplit="2" topLeftCell="A12" activePane="bottomLeft" state="frozen"/>
      <selection activeCell="A2" sqref="A2"/>
      <selection pane="bottomLeft" activeCell="A4" sqref="A4:I22"/>
    </sheetView>
  </sheetViews>
  <sheetFormatPr defaultColWidth="42.85546875" defaultRowHeight="258.75" customHeight="1" x14ac:dyDescent="0.55000000000000004"/>
  <cols>
    <col min="1" max="1" width="69.7109375" style="334" customWidth="1"/>
    <col min="2" max="2" width="120.140625" style="334" bestFit="1" customWidth="1"/>
    <col min="3" max="3" width="133.8554687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61.42578125" style="334" customWidth="1"/>
    <col min="9" max="9" width="255.5703125" style="334" bestFit="1" customWidth="1"/>
    <col min="10" max="10" width="71.7109375" style="334" customWidth="1"/>
    <col min="11" max="16384" width="42.85546875" style="334"/>
  </cols>
  <sheetData>
    <row r="1" spans="1:10" ht="258.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198.75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168.75" customHeight="1" x14ac:dyDescent="0.9">
      <c r="A3" s="262"/>
      <c r="B3" s="263"/>
      <c r="C3" s="262"/>
      <c r="D3" s="262"/>
      <c r="E3" s="264"/>
      <c r="F3" s="264"/>
      <c r="G3" s="265">
        <v>797547</v>
      </c>
      <c r="H3" s="265" t="s">
        <v>129</v>
      </c>
      <c r="I3" s="262"/>
      <c r="J3" s="262"/>
    </row>
    <row r="4" spans="1:10" s="453" customFormat="1" ht="309" customHeight="1" x14ac:dyDescent="1.35">
      <c r="A4" s="431" t="s">
        <v>113</v>
      </c>
      <c r="B4" s="432">
        <v>45241</v>
      </c>
      <c r="C4" s="431">
        <v>1790</v>
      </c>
      <c r="D4" s="451"/>
      <c r="E4" s="452"/>
      <c r="F4" s="433">
        <v>50000</v>
      </c>
      <c r="G4" s="434">
        <f>G3+E4-F4</f>
        <v>747547</v>
      </c>
      <c r="H4" s="426" t="s">
        <v>693</v>
      </c>
      <c r="I4" s="460" t="s">
        <v>77</v>
      </c>
      <c r="J4" s="431"/>
    </row>
    <row r="5" spans="1:10" s="250" customFormat="1" ht="256.5" customHeight="1" x14ac:dyDescent="1.35">
      <c r="A5" s="426" t="s">
        <v>113</v>
      </c>
      <c r="B5" s="427">
        <v>45241</v>
      </c>
      <c r="C5" s="431">
        <v>1791</v>
      </c>
      <c r="D5" s="454"/>
      <c r="E5" s="455"/>
      <c r="F5" s="428">
        <v>3555</v>
      </c>
      <c r="G5" s="429">
        <f>G4+E5-F5</f>
        <v>743992</v>
      </c>
      <c r="H5" s="426" t="s">
        <v>72</v>
      </c>
      <c r="I5" s="460" t="s">
        <v>719</v>
      </c>
      <c r="J5" s="426"/>
    </row>
    <row r="6" spans="1:10" s="453" customFormat="1" ht="309" customHeight="1" x14ac:dyDescent="1.35">
      <c r="A6" s="431" t="s">
        <v>113</v>
      </c>
      <c r="B6" s="432">
        <v>45241</v>
      </c>
      <c r="C6" s="431">
        <v>1792</v>
      </c>
      <c r="D6" s="451"/>
      <c r="E6" s="452"/>
      <c r="F6" s="433">
        <v>2000</v>
      </c>
      <c r="G6" s="434">
        <f>G5+E6-F6</f>
        <v>741992</v>
      </c>
      <c r="H6" s="426" t="s">
        <v>538</v>
      </c>
      <c r="I6" s="460" t="s">
        <v>75</v>
      </c>
      <c r="J6" s="431"/>
    </row>
    <row r="7" spans="1:10" s="250" customFormat="1" ht="256.5" customHeight="1" x14ac:dyDescent="1.35">
      <c r="A7" s="426" t="s">
        <v>113</v>
      </c>
      <c r="B7" s="427">
        <v>45241</v>
      </c>
      <c r="C7" s="431">
        <v>1793</v>
      </c>
      <c r="D7" s="454"/>
      <c r="E7" s="455"/>
      <c r="F7" s="428">
        <v>10000</v>
      </c>
      <c r="G7" s="429">
        <f t="shared" ref="G7:G22" si="0">G6+E7-F7</f>
        <v>731992</v>
      </c>
      <c r="H7" s="426" t="s">
        <v>541</v>
      </c>
      <c r="I7" s="460" t="s">
        <v>720</v>
      </c>
      <c r="J7" s="426"/>
    </row>
    <row r="8" spans="1:10" s="453" customFormat="1" ht="309" customHeight="1" x14ac:dyDescent="1.35">
      <c r="A8" s="431" t="s">
        <v>113</v>
      </c>
      <c r="B8" s="432">
        <v>45241</v>
      </c>
      <c r="C8" s="431">
        <v>1794</v>
      </c>
      <c r="D8" s="451"/>
      <c r="E8" s="452"/>
      <c r="F8" s="433">
        <v>1000</v>
      </c>
      <c r="G8" s="434">
        <f t="shared" si="0"/>
        <v>730992</v>
      </c>
      <c r="H8" s="426" t="s">
        <v>721</v>
      </c>
      <c r="I8" s="460" t="s">
        <v>75</v>
      </c>
      <c r="J8" s="431"/>
    </row>
    <row r="9" spans="1:10" s="250" customFormat="1" ht="256.5" customHeight="1" x14ac:dyDescent="1.35">
      <c r="A9" s="426" t="s">
        <v>113</v>
      </c>
      <c r="B9" s="427">
        <v>45241</v>
      </c>
      <c r="C9" s="431">
        <v>1795</v>
      </c>
      <c r="D9" s="454"/>
      <c r="E9" s="455"/>
      <c r="F9" s="428">
        <v>22220</v>
      </c>
      <c r="G9" s="429">
        <f t="shared" si="0"/>
        <v>708772</v>
      </c>
      <c r="H9" s="426" t="s">
        <v>356</v>
      </c>
      <c r="I9" s="460" t="s">
        <v>722</v>
      </c>
      <c r="J9" s="426"/>
    </row>
    <row r="10" spans="1:10" s="453" customFormat="1" ht="309" customHeight="1" x14ac:dyDescent="1.35">
      <c r="A10" s="431" t="s">
        <v>113</v>
      </c>
      <c r="B10" s="432">
        <v>45241</v>
      </c>
      <c r="C10" s="431">
        <v>1796</v>
      </c>
      <c r="D10" s="451"/>
      <c r="E10" s="452"/>
      <c r="F10" s="433">
        <v>9250</v>
      </c>
      <c r="G10" s="434">
        <f t="shared" si="0"/>
        <v>699522</v>
      </c>
      <c r="H10" s="426" t="s">
        <v>152</v>
      </c>
      <c r="I10" s="460" t="s">
        <v>685</v>
      </c>
      <c r="J10" s="431"/>
    </row>
    <row r="11" spans="1:10" s="250" customFormat="1" ht="256.5" customHeight="1" x14ac:dyDescent="1.35">
      <c r="A11" s="426" t="s">
        <v>113</v>
      </c>
      <c r="B11" s="427">
        <v>45241</v>
      </c>
      <c r="C11" s="431">
        <v>1797</v>
      </c>
      <c r="D11" s="454"/>
      <c r="E11" s="455"/>
      <c r="F11" s="428">
        <v>500</v>
      </c>
      <c r="G11" s="429">
        <f t="shared" si="0"/>
        <v>699022</v>
      </c>
      <c r="H11" s="426" t="s">
        <v>122</v>
      </c>
      <c r="I11" s="460" t="s">
        <v>75</v>
      </c>
      <c r="J11" s="426"/>
    </row>
    <row r="12" spans="1:10" s="250" customFormat="1" ht="256.5" customHeight="1" x14ac:dyDescent="1.35">
      <c r="A12" s="426" t="s">
        <v>113</v>
      </c>
      <c r="B12" s="427">
        <v>45241</v>
      </c>
      <c r="C12" s="431"/>
      <c r="D12" s="454">
        <v>1253</v>
      </c>
      <c r="E12" s="455">
        <v>45000</v>
      </c>
      <c r="F12" s="428"/>
      <c r="G12" s="429">
        <f t="shared" si="0"/>
        <v>744022</v>
      </c>
      <c r="H12" s="429" t="s">
        <v>725</v>
      </c>
      <c r="I12" s="426" t="s">
        <v>726</v>
      </c>
      <c r="J12" s="426"/>
    </row>
    <row r="13" spans="1:10" s="250" customFormat="1" ht="256.5" customHeight="1" x14ac:dyDescent="1.35">
      <c r="A13" s="426" t="s">
        <v>113</v>
      </c>
      <c r="B13" s="427">
        <v>45241</v>
      </c>
      <c r="C13" s="431"/>
      <c r="D13" s="454">
        <v>1254</v>
      </c>
      <c r="E13" s="455">
        <v>25000</v>
      </c>
      <c r="F13" s="428"/>
      <c r="G13" s="429">
        <f t="shared" si="0"/>
        <v>769022</v>
      </c>
      <c r="H13" s="429" t="s">
        <v>51</v>
      </c>
      <c r="I13" s="426" t="s">
        <v>727</v>
      </c>
      <c r="J13" s="426"/>
    </row>
    <row r="14" spans="1:10" s="250" customFormat="1" ht="256.5" customHeight="1" x14ac:dyDescent="1.35">
      <c r="A14" s="426" t="s">
        <v>113</v>
      </c>
      <c r="B14" s="427">
        <v>45241</v>
      </c>
      <c r="C14" s="431"/>
      <c r="D14" s="454">
        <v>1255</v>
      </c>
      <c r="E14" s="455">
        <v>65000</v>
      </c>
      <c r="F14" s="428"/>
      <c r="G14" s="429">
        <f t="shared" si="0"/>
        <v>834022</v>
      </c>
      <c r="H14" s="429" t="s">
        <v>728</v>
      </c>
      <c r="I14" s="426" t="s">
        <v>729</v>
      </c>
      <c r="J14" s="426"/>
    </row>
    <row r="15" spans="1:10" s="250" customFormat="1" ht="256.5" customHeight="1" x14ac:dyDescent="1.35">
      <c r="A15" s="426" t="s">
        <v>113</v>
      </c>
      <c r="B15" s="427">
        <v>45241</v>
      </c>
      <c r="C15" s="431"/>
      <c r="D15" s="454">
        <v>1256</v>
      </c>
      <c r="E15" s="455">
        <v>10000</v>
      </c>
      <c r="F15" s="428"/>
      <c r="G15" s="429">
        <f t="shared" si="0"/>
        <v>844022</v>
      </c>
      <c r="H15" s="429" t="s">
        <v>723</v>
      </c>
      <c r="I15" s="426" t="s">
        <v>724</v>
      </c>
      <c r="J15" s="426"/>
    </row>
    <row r="16" spans="1:10" s="250" customFormat="1" ht="256.5" customHeight="1" x14ac:dyDescent="1.35">
      <c r="A16" s="426" t="s">
        <v>113</v>
      </c>
      <c r="B16" s="427"/>
      <c r="C16" s="431"/>
      <c r="D16" s="454"/>
      <c r="E16" s="455">
        <v>2138</v>
      </c>
      <c r="F16" s="428"/>
      <c r="G16" s="429">
        <f t="shared" si="0"/>
        <v>846160</v>
      </c>
      <c r="H16" s="429" t="s">
        <v>83</v>
      </c>
      <c r="I16" s="426" t="s">
        <v>730</v>
      </c>
      <c r="J16" s="426"/>
    </row>
    <row r="17" spans="1:10" s="250" customFormat="1" ht="256.5" customHeight="1" x14ac:dyDescent="1.35">
      <c r="A17" s="426" t="s">
        <v>113</v>
      </c>
      <c r="B17" s="427"/>
      <c r="C17" s="431"/>
      <c r="D17" s="454"/>
      <c r="E17" s="455">
        <v>1941</v>
      </c>
      <c r="F17" s="428"/>
      <c r="G17" s="429">
        <f t="shared" si="0"/>
        <v>848101</v>
      </c>
      <c r="H17" s="429" t="s">
        <v>83</v>
      </c>
      <c r="I17" s="426" t="s">
        <v>731</v>
      </c>
      <c r="J17" s="426"/>
    </row>
    <row r="18" spans="1:10" s="250" customFormat="1" ht="256.5" customHeight="1" x14ac:dyDescent="1.35">
      <c r="A18" s="426" t="s">
        <v>113</v>
      </c>
      <c r="B18" s="427"/>
      <c r="C18" s="431"/>
      <c r="D18" s="454"/>
      <c r="E18" s="455">
        <v>2250</v>
      </c>
      <c r="F18" s="428"/>
      <c r="G18" s="429">
        <f t="shared" si="0"/>
        <v>850351</v>
      </c>
      <c r="H18" s="429" t="s">
        <v>83</v>
      </c>
      <c r="I18" s="426" t="s">
        <v>732</v>
      </c>
      <c r="J18" s="426"/>
    </row>
    <row r="19" spans="1:10" s="250" customFormat="1" ht="256.5" customHeight="1" x14ac:dyDescent="1.35">
      <c r="A19" s="426" t="s">
        <v>113</v>
      </c>
      <c r="B19" s="427"/>
      <c r="C19" s="431"/>
      <c r="D19" s="454"/>
      <c r="E19" s="455">
        <v>1135</v>
      </c>
      <c r="F19" s="428"/>
      <c r="G19" s="429">
        <f t="shared" si="0"/>
        <v>851486</v>
      </c>
      <c r="H19" s="429" t="s">
        <v>83</v>
      </c>
      <c r="I19" s="426" t="s">
        <v>733</v>
      </c>
      <c r="J19" s="426"/>
    </row>
    <row r="20" spans="1:10" s="453" customFormat="1" ht="309" customHeight="1" x14ac:dyDescent="1.35">
      <c r="A20" s="426" t="s">
        <v>113</v>
      </c>
      <c r="B20" s="432">
        <v>45241</v>
      </c>
      <c r="C20" s="431"/>
      <c r="D20" s="451"/>
      <c r="E20" s="452"/>
      <c r="F20" s="433"/>
      <c r="G20" s="429">
        <f t="shared" si="0"/>
        <v>851486</v>
      </c>
      <c r="H20" s="434"/>
      <c r="I20" s="431"/>
      <c r="J20" s="431"/>
    </row>
    <row r="21" spans="1:10" s="250" customFormat="1" ht="256.5" customHeight="1" x14ac:dyDescent="1.35">
      <c r="A21" s="426" t="s">
        <v>113</v>
      </c>
      <c r="B21" s="427">
        <v>45241</v>
      </c>
      <c r="C21" s="426"/>
      <c r="D21" s="454"/>
      <c r="E21" s="455">
        <v>1000</v>
      </c>
      <c r="F21" s="428"/>
      <c r="G21" s="429">
        <f t="shared" si="0"/>
        <v>852486</v>
      </c>
      <c r="H21" s="429" t="s">
        <v>72</v>
      </c>
      <c r="I21" s="426" t="s">
        <v>734</v>
      </c>
      <c r="J21" s="426"/>
    </row>
    <row r="22" spans="1:10" s="458" customFormat="1" ht="219" customHeight="1" x14ac:dyDescent="1.35">
      <c r="A22" s="441" t="s">
        <v>113</v>
      </c>
      <c r="B22" s="442">
        <v>45241</v>
      </c>
      <c r="C22" s="441"/>
      <c r="D22" s="456"/>
      <c r="E22" s="457"/>
      <c r="F22" s="443">
        <v>600</v>
      </c>
      <c r="G22" s="434">
        <f t="shared" si="0"/>
        <v>851886</v>
      </c>
      <c r="H22" s="429" t="s">
        <v>72</v>
      </c>
      <c r="I22" s="441"/>
      <c r="J22" s="441"/>
    </row>
    <row r="23" spans="1:10" ht="116.25" customHeight="1" thickBot="1" x14ac:dyDescent="0.6">
      <c r="A23" s="386"/>
      <c r="B23" s="398"/>
      <c r="C23" s="386"/>
      <c r="D23" s="386"/>
      <c r="E23" s="390"/>
      <c r="F23" s="388"/>
      <c r="G23" s="389"/>
      <c r="H23" s="391"/>
      <c r="I23" s="386"/>
      <c r="J23" s="386"/>
    </row>
    <row r="24" spans="1:10" s="250" customFormat="1" ht="236.25" customHeight="1" thickTop="1" x14ac:dyDescent="1.35">
      <c r="A24" s="270"/>
      <c r="B24" s="136" t="s">
        <v>127</v>
      </c>
      <c r="C24" s="137" t="s">
        <v>115</v>
      </c>
      <c r="D24" s="137" t="s">
        <v>179</v>
      </c>
      <c r="E24" s="137" t="s">
        <v>116</v>
      </c>
      <c r="F24" s="138" t="s">
        <v>180</v>
      </c>
      <c r="G24" s="139" t="s">
        <v>211</v>
      </c>
      <c r="H24" s="271"/>
      <c r="I24" s="447"/>
      <c r="J24" s="150"/>
    </row>
    <row r="25" spans="1:10" ht="213.75" customHeight="1" thickBot="1" x14ac:dyDescent="0.6">
      <c r="A25" s="161"/>
      <c r="B25" s="140">
        <f>$G$3</f>
        <v>797547</v>
      </c>
      <c r="C25" s="141">
        <f>SUMIF(A4:A22,B1,E4:E$22)</f>
        <v>153464</v>
      </c>
      <c r="D25" s="141">
        <f>SUMIF(A4:A22,B1,F4:$F$22)</f>
        <v>99125</v>
      </c>
      <c r="E25" s="141">
        <f>SUMIF(A3:A22,A1,E3:$E$22)</f>
        <v>0</v>
      </c>
      <c r="F25" s="141">
        <f>SUMIF(A3:A22,A1,F3:$F$22)</f>
        <v>0</v>
      </c>
      <c r="G25" s="142">
        <f>+B25+C25+E25-D25-F25</f>
        <v>851886</v>
      </c>
      <c r="H25" s="164"/>
      <c r="I25" s="180"/>
      <c r="J25" s="180"/>
    </row>
    <row r="26" spans="1:10" ht="288.75" customHeight="1" thickTop="1" x14ac:dyDescent="0.55000000000000004">
      <c r="A26" s="161"/>
      <c r="B26" s="262"/>
      <c r="C26" s="259">
        <f>+B25+C25-D25</f>
        <v>851886</v>
      </c>
      <c r="D26" s="566" t="s">
        <v>181</v>
      </c>
      <c r="E26" s="566"/>
      <c r="F26" s="566"/>
      <c r="G26" s="264"/>
      <c r="H26" s="164"/>
      <c r="I26" s="161"/>
      <c r="J26" s="161"/>
    </row>
    <row r="27" spans="1:10" s="250" customFormat="1" ht="146.25" customHeight="1" x14ac:dyDescent="1.35">
      <c r="A27" s="262"/>
      <c r="B27" s="262"/>
      <c r="C27" s="273"/>
      <c r="D27" s="567" t="s">
        <v>278</v>
      </c>
      <c r="E27" s="567"/>
      <c r="F27" s="567"/>
      <c r="G27" s="264"/>
      <c r="H27" s="272"/>
      <c r="I27" s="262"/>
      <c r="J27" s="262"/>
    </row>
    <row r="28" spans="1:10" s="250" customFormat="1" ht="258.75" customHeight="1" x14ac:dyDescent="1.35">
      <c r="A28" s="262"/>
      <c r="B28" s="262"/>
      <c r="C28" s="273"/>
      <c r="D28" s="274" t="s">
        <v>279</v>
      </c>
      <c r="E28" s="274" t="s">
        <v>280</v>
      </c>
      <c r="F28" s="274" t="s">
        <v>281</v>
      </c>
      <c r="G28" s="264"/>
      <c r="H28" s="272"/>
      <c r="I28" s="262"/>
      <c r="J28" s="262"/>
    </row>
    <row r="29" spans="1:10" ht="258.75" customHeight="1" x14ac:dyDescent="0.55000000000000004">
      <c r="A29" s="161"/>
      <c r="B29" s="161"/>
      <c r="C29" s="161"/>
      <c r="D29" s="275">
        <v>129</v>
      </c>
      <c r="E29" s="276">
        <v>200</v>
      </c>
      <c r="F29" s="276">
        <f>+E29*D29</f>
        <v>25800</v>
      </c>
      <c r="G29" s="163"/>
      <c r="H29" s="164"/>
      <c r="I29" s="161"/>
      <c r="J29" s="161"/>
    </row>
    <row r="30" spans="1:10" ht="251.25" customHeight="1" x14ac:dyDescent="0.55000000000000004">
      <c r="A30" s="161"/>
      <c r="B30" s="161"/>
      <c r="C30" s="161"/>
      <c r="D30" s="275">
        <f>3712-3</f>
        <v>3709</v>
      </c>
      <c r="E30" s="276">
        <v>100</v>
      </c>
      <c r="F30" s="276">
        <f t="shared" ref="F30:F35" si="1">+E30*D30</f>
        <v>370900</v>
      </c>
      <c r="G30" s="163"/>
      <c r="H30" s="164"/>
      <c r="I30" s="161"/>
      <c r="J30" s="161"/>
    </row>
    <row r="31" spans="1:10" ht="258.75" customHeight="1" x14ac:dyDescent="0.55000000000000004">
      <c r="A31" s="161"/>
      <c r="B31" s="161"/>
      <c r="C31" s="161"/>
      <c r="D31" s="275">
        <f>11-2</f>
        <v>9</v>
      </c>
      <c r="E31" s="276">
        <v>50</v>
      </c>
      <c r="F31" s="276">
        <f t="shared" si="1"/>
        <v>450</v>
      </c>
      <c r="G31" s="163"/>
      <c r="H31" s="164"/>
      <c r="I31" s="161"/>
      <c r="J31" s="161"/>
    </row>
    <row r="32" spans="1:10" ht="213.75" customHeight="1" x14ac:dyDescent="0.55000000000000004">
      <c r="A32" s="161"/>
      <c r="B32" s="161"/>
      <c r="C32" s="161"/>
      <c r="D32" s="275">
        <v>102</v>
      </c>
      <c r="E32" s="276">
        <v>20</v>
      </c>
      <c r="F32" s="276">
        <f t="shared" si="1"/>
        <v>2040</v>
      </c>
      <c r="G32" s="163"/>
      <c r="H32" s="164"/>
      <c r="I32" s="161"/>
      <c r="J32" s="161"/>
    </row>
    <row r="33" spans="1:10" ht="258.75" customHeight="1" x14ac:dyDescent="0.55000000000000004">
      <c r="A33" s="161"/>
      <c r="B33" s="161"/>
      <c r="C33" s="161"/>
      <c r="D33" s="275">
        <v>73</v>
      </c>
      <c r="E33" s="276">
        <v>10</v>
      </c>
      <c r="F33" s="276">
        <f t="shared" si="1"/>
        <v>730</v>
      </c>
      <c r="G33" s="163"/>
      <c r="H33" s="164"/>
      <c r="I33" s="161"/>
      <c r="J33" s="161"/>
    </row>
    <row r="34" spans="1:10" ht="258.75" customHeight="1" x14ac:dyDescent="0.55000000000000004">
      <c r="A34" s="161"/>
      <c r="B34" s="161"/>
      <c r="C34" s="161"/>
      <c r="D34" s="275">
        <v>15</v>
      </c>
      <c r="E34" s="276">
        <v>5</v>
      </c>
      <c r="F34" s="276">
        <f t="shared" si="1"/>
        <v>75</v>
      </c>
      <c r="G34" s="163"/>
      <c r="H34" s="164"/>
      <c r="I34" s="161"/>
      <c r="J34" s="161"/>
    </row>
    <row r="35" spans="1:10" ht="258.75" customHeight="1" thickBot="1" x14ac:dyDescent="0.6">
      <c r="A35" s="161"/>
      <c r="B35" s="161"/>
      <c r="C35" s="161"/>
      <c r="D35" s="275">
        <v>1</v>
      </c>
      <c r="E35" s="276">
        <v>1</v>
      </c>
      <c r="F35" s="276">
        <f t="shared" si="1"/>
        <v>1</v>
      </c>
      <c r="G35" s="163"/>
      <c r="H35" s="164"/>
      <c r="I35" s="161"/>
      <c r="J35" s="161"/>
    </row>
    <row r="36" spans="1:10" s="250" customFormat="1" ht="161.25" customHeight="1" x14ac:dyDescent="1.35">
      <c r="A36" s="262"/>
      <c r="B36" s="262"/>
      <c r="C36" s="262"/>
      <c r="D36" s="572" t="s">
        <v>283</v>
      </c>
      <c r="E36" s="573"/>
      <c r="F36" s="281">
        <f>SUM(F29:F35)</f>
        <v>399996</v>
      </c>
      <c r="G36" s="264"/>
      <c r="H36" s="272"/>
      <c r="I36" s="262"/>
      <c r="J36" s="262"/>
    </row>
    <row r="37" spans="1:10" s="250" customFormat="1" ht="143.25" customHeight="1" x14ac:dyDescent="1.35">
      <c r="A37" s="262"/>
      <c r="B37" s="262"/>
      <c r="C37" s="262"/>
      <c r="D37" s="574" t="s">
        <v>282</v>
      </c>
      <c r="E37" s="575"/>
      <c r="F37" s="284">
        <f>C26</f>
        <v>851886</v>
      </c>
      <c r="G37" s="264"/>
      <c r="H37" s="272"/>
      <c r="I37" s="262"/>
      <c r="J37" s="262"/>
    </row>
    <row r="38" spans="1:10" s="250" customFormat="1" ht="258.75" customHeight="1" thickBot="1" x14ac:dyDescent="1.4">
      <c r="A38" s="262"/>
      <c r="B38" s="262"/>
      <c r="C38" s="262"/>
      <c r="D38" s="576" t="s">
        <v>284</v>
      </c>
      <c r="E38" s="577"/>
      <c r="F38" s="287">
        <f>+F36-F37</f>
        <v>-451890</v>
      </c>
      <c r="G38" s="264"/>
      <c r="H38" s="272"/>
      <c r="I38" s="262"/>
      <c r="J38" s="262"/>
    </row>
  </sheetData>
  <mergeCells count="5">
    <mergeCell ref="D26:F26"/>
    <mergeCell ref="D27:F27"/>
    <mergeCell ref="D36:E36"/>
    <mergeCell ref="D37:E37"/>
    <mergeCell ref="D38:E38"/>
  </mergeCells>
  <conditionalFormatting sqref="A1">
    <cfRule type="cellIs" dxfId="65" priority="12" operator="equal">
      <formula>#REF!</formula>
    </cfRule>
  </conditionalFormatting>
  <conditionalFormatting sqref="A2:A3 A22:A29 A36:A38">
    <cfRule type="cellIs" dxfId="64" priority="14" operator="equal">
      <formula>#REF!</formula>
    </cfRule>
  </conditionalFormatting>
  <conditionalFormatting sqref="A4:A21">
    <cfRule type="cellIs" dxfId="63" priority="1" operator="equal">
      <formula>#REF!</formula>
    </cfRule>
  </conditionalFormatting>
  <conditionalFormatting sqref="A30:A35">
    <cfRule type="cellIs" dxfId="62" priority="10" operator="equal">
      <formula>#REF!</formula>
    </cfRule>
  </conditionalFormatting>
  <conditionalFormatting sqref="B1">
    <cfRule type="cellIs" dxfId="61" priority="11" operator="equal">
      <formula>#REF!</formula>
    </cfRule>
  </conditionalFormatting>
  <conditionalFormatting sqref="C2:D2">
    <cfRule type="duplicateValues" dxfId="60" priority="13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1" manualBreakCount="1">
    <brk id="22" max="16383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J30"/>
  <sheetViews>
    <sheetView rightToLeft="1" view="pageBreakPreview" zoomScale="10" zoomScaleNormal="10" zoomScaleSheetLayoutView="10" workbookViewId="0">
      <pane ySplit="2" topLeftCell="A3" activePane="bottomLeft" state="frozen"/>
      <selection activeCell="A2" sqref="A2"/>
      <selection pane="bottomLeft" activeCell="A4" sqref="A4:I14"/>
    </sheetView>
  </sheetViews>
  <sheetFormatPr defaultColWidth="42.85546875" defaultRowHeight="258.75" customHeight="1" x14ac:dyDescent="0.55000000000000004"/>
  <cols>
    <col min="1" max="1" width="69.7109375" style="334" customWidth="1"/>
    <col min="2" max="2" width="120.140625" style="334" bestFit="1" customWidth="1"/>
    <col min="3" max="3" width="133.8554687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61.42578125" style="334" customWidth="1"/>
    <col min="9" max="9" width="255.5703125" style="334" bestFit="1" customWidth="1"/>
    <col min="10" max="10" width="71.7109375" style="334" customWidth="1"/>
    <col min="11" max="16384" width="42.85546875" style="334"/>
  </cols>
  <sheetData>
    <row r="1" spans="1:10" ht="258.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198.75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168.75" customHeight="1" x14ac:dyDescent="0.9">
      <c r="A3" s="262"/>
      <c r="B3" s="263"/>
      <c r="C3" s="262"/>
      <c r="D3" s="262"/>
      <c r="E3" s="264"/>
      <c r="F3" s="264"/>
      <c r="G3" s="265">
        <v>851886</v>
      </c>
      <c r="H3" s="265" t="s">
        <v>129</v>
      </c>
      <c r="I3" s="262"/>
      <c r="J3" s="262"/>
    </row>
    <row r="4" spans="1:10" s="453" customFormat="1" ht="309" customHeight="1" x14ac:dyDescent="1.35">
      <c r="A4" s="431" t="s">
        <v>113</v>
      </c>
      <c r="B4" s="432">
        <v>45242</v>
      </c>
      <c r="C4" s="431"/>
      <c r="D4" s="451">
        <v>1257</v>
      </c>
      <c r="E4" s="452">
        <v>10000</v>
      </c>
      <c r="F4" s="433"/>
      <c r="G4" s="434">
        <f>G3+E4-F4</f>
        <v>861886</v>
      </c>
      <c r="H4" s="434" t="s">
        <v>668</v>
      </c>
      <c r="I4" s="431" t="s">
        <v>669</v>
      </c>
      <c r="J4" s="431"/>
    </row>
    <row r="5" spans="1:10" s="250" customFormat="1" ht="256.5" customHeight="1" x14ac:dyDescent="1.35">
      <c r="A5" s="426" t="s">
        <v>113</v>
      </c>
      <c r="B5" s="427">
        <v>45242</v>
      </c>
      <c r="C5" s="426"/>
      <c r="D5" s="454"/>
      <c r="E5" s="455"/>
      <c r="F5" s="428">
        <v>10000</v>
      </c>
      <c r="G5" s="429">
        <f>G4+E5-F5</f>
        <v>851886</v>
      </c>
      <c r="H5" s="429" t="s">
        <v>668</v>
      </c>
      <c r="I5" s="426" t="s">
        <v>681</v>
      </c>
      <c r="J5" s="426"/>
    </row>
    <row r="6" spans="1:10" s="453" customFormat="1" ht="309" customHeight="1" x14ac:dyDescent="1.35">
      <c r="A6" s="431" t="s">
        <v>113</v>
      </c>
      <c r="B6" s="432">
        <v>45242</v>
      </c>
      <c r="C6" s="431"/>
      <c r="D6" s="451">
        <v>1258</v>
      </c>
      <c r="E6" s="452">
        <v>70000</v>
      </c>
      <c r="F6" s="433"/>
      <c r="G6" s="434">
        <f>G5+E6-F6</f>
        <v>921886</v>
      </c>
      <c r="H6" s="434" t="s">
        <v>670</v>
      </c>
      <c r="I6" s="431" t="s">
        <v>671</v>
      </c>
      <c r="J6" s="431"/>
    </row>
    <row r="7" spans="1:10" s="250" customFormat="1" ht="256.5" customHeight="1" x14ac:dyDescent="1.35">
      <c r="A7" s="426" t="s">
        <v>113</v>
      </c>
      <c r="B7" s="427">
        <v>45242</v>
      </c>
      <c r="C7" s="426">
        <v>1798</v>
      </c>
      <c r="D7" s="454"/>
      <c r="E7" s="455"/>
      <c r="F7" s="428">
        <v>1000</v>
      </c>
      <c r="G7" s="429">
        <f t="shared" ref="G7:G14" si="0">G6+E7-F7</f>
        <v>920886</v>
      </c>
      <c r="H7" s="429" t="s">
        <v>672</v>
      </c>
      <c r="I7" s="426" t="s">
        <v>224</v>
      </c>
      <c r="J7" s="426"/>
    </row>
    <row r="8" spans="1:10" s="453" customFormat="1" ht="309" customHeight="1" x14ac:dyDescent="1.35">
      <c r="A8" s="431" t="s">
        <v>113</v>
      </c>
      <c r="B8" s="432">
        <v>45242</v>
      </c>
      <c r="C8" s="431">
        <v>1799</v>
      </c>
      <c r="D8" s="451"/>
      <c r="E8" s="452"/>
      <c r="F8" s="433">
        <v>2000</v>
      </c>
      <c r="G8" s="434">
        <f t="shared" si="0"/>
        <v>918886</v>
      </c>
      <c r="H8" s="434" t="s">
        <v>673</v>
      </c>
      <c r="I8" s="431" t="s">
        <v>674</v>
      </c>
      <c r="J8" s="431"/>
    </row>
    <row r="9" spans="1:10" s="250" customFormat="1" ht="256.5" customHeight="1" x14ac:dyDescent="1.35">
      <c r="A9" s="426" t="s">
        <v>113</v>
      </c>
      <c r="B9" s="427">
        <v>45242</v>
      </c>
      <c r="C9" s="426">
        <v>1800</v>
      </c>
      <c r="D9" s="454"/>
      <c r="E9" s="455"/>
      <c r="F9" s="428">
        <v>4590</v>
      </c>
      <c r="G9" s="429">
        <f t="shared" si="0"/>
        <v>914296</v>
      </c>
      <c r="H9" s="429" t="s">
        <v>675</v>
      </c>
      <c r="I9" s="426" t="s">
        <v>676</v>
      </c>
      <c r="J9" s="426"/>
    </row>
    <row r="10" spans="1:10" s="453" customFormat="1" ht="309" customHeight="1" x14ac:dyDescent="1.35">
      <c r="A10" s="431" t="s">
        <v>113</v>
      </c>
      <c r="B10" s="432">
        <v>45242</v>
      </c>
      <c r="C10" s="431">
        <v>1801</v>
      </c>
      <c r="D10" s="451"/>
      <c r="E10" s="452"/>
      <c r="F10" s="433">
        <v>6500</v>
      </c>
      <c r="G10" s="434">
        <f t="shared" si="0"/>
        <v>907796</v>
      </c>
      <c r="H10" s="434" t="s">
        <v>72</v>
      </c>
      <c r="I10" s="431" t="s">
        <v>677</v>
      </c>
      <c r="J10" s="431"/>
    </row>
    <row r="11" spans="1:10" s="250" customFormat="1" ht="256.5" customHeight="1" x14ac:dyDescent="1.35">
      <c r="A11" s="426" t="s">
        <v>113</v>
      </c>
      <c r="B11" s="427">
        <v>45242</v>
      </c>
      <c r="C11" s="426">
        <v>1802</v>
      </c>
      <c r="D11" s="454"/>
      <c r="E11" s="455"/>
      <c r="F11" s="428">
        <v>790</v>
      </c>
      <c r="G11" s="429">
        <f t="shared" si="0"/>
        <v>907006</v>
      </c>
      <c r="H11" s="429" t="s">
        <v>225</v>
      </c>
      <c r="I11" s="426" t="s">
        <v>678</v>
      </c>
      <c r="J11" s="426"/>
    </row>
    <row r="12" spans="1:10" s="453" customFormat="1" ht="309" customHeight="1" x14ac:dyDescent="1.35">
      <c r="A12" s="431" t="s">
        <v>113</v>
      </c>
      <c r="B12" s="432">
        <v>45242</v>
      </c>
      <c r="C12" s="431">
        <v>1803</v>
      </c>
      <c r="D12" s="451"/>
      <c r="E12" s="452"/>
      <c r="F12" s="433">
        <v>0</v>
      </c>
      <c r="G12" s="434">
        <f t="shared" si="0"/>
        <v>907006</v>
      </c>
      <c r="H12" s="434" t="s">
        <v>679</v>
      </c>
      <c r="I12" s="431" t="s">
        <v>680</v>
      </c>
      <c r="J12" s="431"/>
    </row>
    <row r="13" spans="1:10" s="250" customFormat="1" ht="256.5" customHeight="1" x14ac:dyDescent="1.35">
      <c r="A13" s="426" t="s">
        <v>113</v>
      </c>
      <c r="B13" s="427">
        <v>45242</v>
      </c>
      <c r="C13" s="426">
        <v>1804</v>
      </c>
      <c r="D13" s="454"/>
      <c r="E13" s="455"/>
      <c r="F13" s="428">
        <v>5000</v>
      </c>
      <c r="G13" s="429">
        <f t="shared" si="0"/>
        <v>902006</v>
      </c>
      <c r="H13" s="429" t="s">
        <v>199</v>
      </c>
      <c r="I13" s="426" t="s">
        <v>451</v>
      </c>
      <c r="J13" s="426"/>
    </row>
    <row r="14" spans="1:10" s="458" customFormat="1" ht="219" customHeight="1" x14ac:dyDescent="1.35">
      <c r="A14" s="441" t="s">
        <v>113</v>
      </c>
      <c r="B14" s="432">
        <v>45242</v>
      </c>
      <c r="C14" s="441"/>
      <c r="D14" s="456"/>
      <c r="E14" s="457">
        <v>600</v>
      </c>
      <c r="F14" s="443"/>
      <c r="G14" s="434">
        <f t="shared" si="0"/>
        <v>902606</v>
      </c>
      <c r="H14" s="444" t="s">
        <v>682</v>
      </c>
      <c r="I14" s="441"/>
      <c r="J14" s="441"/>
    </row>
    <row r="15" spans="1:10" ht="116.25" customHeight="1" thickBot="1" x14ac:dyDescent="0.6">
      <c r="A15" s="386"/>
      <c r="B15" s="398"/>
      <c r="C15" s="386"/>
      <c r="D15" s="386"/>
      <c r="E15" s="390"/>
      <c r="F15" s="388"/>
      <c r="G15" s="389"/>
      <c r="H15" s="391"/>
      <c r="I15" s="386"/>
      <c r="J15" s="386"/>
    </row>
    <row r="16" spans="1:10" s="250" customFormat="1" ht="236.25" customHeight="1" thickTop="1" x14ac:dyDescent="1.35">
      <c r="A16" s="270"/>
      <c r="B16" s="136" t="s">
        <v>127</v>
      </c>
      <c r="C16" s="137" t="s">
        <v>115</v>
      </c>
      <c r="D16" s="137" t="s">
        <v>179</v>
      </c>
      <c r="E16" s="137" t="s">
        <v>116</v>
      </c>
      <c r="F16" s="138" t="s">
        <v>180</v>
      </c>
      <c r="G16" s="139" t="s">
        <v>211</v>
      </c>
      <c r="H16" s="271"/>
      <c r="I16" s="447"/>
      <c r="J16" s="150"/>
    </row>
    <row r="17" spans="1:10" ht="213.75" customHeight="1" thickBot="1" x14ac:dyDescent="0.6">
      <c r="A17" s="161"/>
      <c r="B17" s="140">
        <f>$G$3</f>
        <v>851886</v>
      </c>
      <c r="C17" s="141">
        <f>SUMIF(A4:A14,B1,E4:E$14)</f>
        <v>80600</v>
      </c>
      <c r="D17" s="141">
        <f>SUMIF(A4:A14,B1,F4:$F$14)</f>
        <v>29880</v>
      </c>
      <c r="E17" s="141">
        <f>SUMIF(A3:A14,A1,E3:$E$14)</f>
        <v>0</v>
      </c>
      <c r="F17" s="141">
        <f>SUMIF(A3:A14,A1,F3:$F$14)</f>
        <v>0</v>
      </c>
      <c r="G17" s="142">
        <f>+B17+C17+E17-D17-F17</f>
        <v>902606</v>
      </c>
      <c r="H17" s="164"/>
      <c r="I17" s="180"/>
      <c r="J17" s="180"/>
    </row>
    <row r="18" spans="1:10" ht="288.75" customHeight="1" thickTop="1" x14ac:dyDescent="0.55000000000000004">
      <c r="A18" s="161"/>
      <c r="B18" s="262"/>
      <c r="C18" s="259">
        <f>+B17+C17-D17</f>
        <v>902606</v>
      </c>
      <c r="D18" s="566" t="s">
        <v>181</v>
      </c>
      <c r="E18" s="566"/>
      <c r="F18" s="566"/>
      <c r="G18" s="264"/>
      <c r="H18" s="164"/>
      <c r="I18" s="161"/>
      <c r="J18" s="161"/>
    </row>
    <row r="19" spans="1:10" s="250" customFormat="1" ht="146.25" customHeight="1" x14ac:dyDescent="1.35">
      <c r="A19" s="262"/>
      <c r="B19" s="262"/>
      <c r="C19" s="273"/>
      <c r="D19" s="567" t="s">
        <v>278</v>
      </c>
      <c r="E19" s="567"/>
      <c r="F19" s="567"/>
      <c r="G19" s="264"/>
      <c r="H19" s="272"/>
      <c r="I19" s="262"/>
      <c r="J19" s="262"/>
    </row>
    <row r="20" spans="1:10" s="250" customFormat="1" ht="258.75" customHeight="1" x14ac:dyDescent="1.35">
      <c r="A20" s="262"/>
      <c r="B20" s="262"/>
      <c r="C20" s="273"/>
      <c r="D20" s="274" t="s">
        <v>279</v>
      </c>
      <c r="E20" s="274" t="s">
        <v>280</v>
      </c>
      <c r="F20" s="274" t="s">
        <v>281</v>
      </c>
      <c r="G20" s="264"/>
      <c r="H20" s="272"/>
      <c r="I20" s="262"/>
      <c r="J20" s="262"/>
    </row>
    <row r="21" spans="1:10" ht="258.75" customHeight="1" x14ac:dyDescent="0.55000000000000004">
      <c r="A21" s="161"/>
      <c r="B21" s="161"/>
      <c r="C21" s="161"/>
      <c r="D21" s="275">
        <v>429</v>
      </c>
      <c r="E21" s="276">
        <v>200</v>
      </c>
      <c r="F21" s="276">
        <f>+E21*D21</f>
        <v>85800</v>
      </c>
      <c r="G21" s="163"/>
      <c r="H21" s="164"/>
      <c r="I21" s="161"/>
      <c r="J21" s="161"/>
    </row>
    <row r="22" spans="1:10" ht="251.25" customHeight="1" x14ac:dyDescent="0.55000000000000004">
      <c r="A22" s="161"/>
      <c r="B22" s="161"/>
      <c r="C22" s="161"/>
      <c r="D22" s="275">
        <v>239</v>
      </c>
      <c r="E22" s="276">
        <v>100</v>
      </c>
      <c r="F22" s="276">
        <f t="shared" ref="F22:F27" si="1">+E22*D22</f>
        <v>23900</v>
      </c>
      <c r="G22" s="163"/>
      <c r="H22" s="164"/>
      <c r="I22" s="161"/>
      <c r="J22" s="161"/>
    </row>
    <row r="23" spans="1:10" ht="258.75" customHeight="1" x14ac:dyDescent="0.55000000000000004">
      <c r="A23" s="161"/>
      <c r="B23" s="161"/>
      <c r="C23" s="161"/>
      <c r="D23" s="275">
        <v>36</v>
      </c>
      <c r="E23" s="276">
        <v>50</v>
      </c>
      <c r="F23" s="276">
        <f t="shared" si="1"/>
        <v>1800</v>
      </c>
      <c r="G23" s="163"/>
      <c r="H23" s="164"/>
      <c r="I23" s="161"/>
      <c r="J23" s="161"/>
    </row>
    <row r="24" spans="1:10" ht="213.75" customHeight="1" x14ac:dyDescent="0.55000000000000004">
      <c r="A24" s="161"/>
      <c r="B24" s="161"/>
      <c r="C24" s="161"/>
      <c r="D24" s="275">
        <v>14</v>
      </c>
      <c r="E24" s="276">
        <v>20</v>
      </c>
      <c r="F24" s="276">
        <f t="shared" si="1"/>
        <v>280</v>
      </c>
      <c r="G24" s="163"/>
      <c r="H24" s="164"/>
      <c r="I24" s="161"/>
      <c r="J24" s="161"/>
    </row>
    <row r="25" spans="1:10" ht="258.75" customHeight="1" x14ac:dyDescent="0.55000000000000004">
      <c r="A25" s="161"/>
      <c r="B25" s="161"/>
      <c r="C25" s="161"/>
      <c r="D25" s="275">
        <v>90</v>
      </c>
      <c r="E25" s="276">
        <v>10</v>
      </c>
      <c r="F25" s="276">
        <f t="shared" si="1"/>
        <v>900</v>
      </c>
      <c r="G25" s="163"/>
      <c r="H25" s="164"/>
      <c r="I25" s="161"/>
      <c r="J25" s="161"/>
    </row>
    <row r="26" spans="1:10" ht="258.75" customHeight="1" x14ac:dyDescent="0.55000000000000004">
      <c r="A26" s="161"/>
      <c r="B26" s="161"/>
      <c r="C26" s="161"/>
      <c r="D26" s="275">
        <v>45</v>
      </c>
      <c r="E26" s="276">
        <v>5</v>
      </c>
      <c r="F26" s="276">
        <f t="shared" si="1"/>
        <v>225</v>
      </c>
      <c r="G26" s="163"/>
      <c r="H26" s="164"/>
      <c r="I26" s="161"/>
      <c r="J26" s="161"/>
    </row>
    <row r="27" spans="1:10" ht="258.75" customHeight="1" thickBot="1" x14ac:dyDescent="0.6">
      <c r="A27" s="161"/>
      <c r="B27" s="161"/>
      <c r="C27" s="161"/>
      <c r="D27" s="275">
        <v>1</v>
      </c>
      <c r="E27" s="276">
        <v>1</v>
      </c>
      <c r="F27" s="276">
        <f t="shared" si="1"/>
        <v>1</v>
      </c>
      <c r="G27" s="163"/>
      <c r="H27" s="164"/>
      <c r="I27" s="161"/>
      <c r="J27" s="161"/>
    </row>
    <row r="28" spans="1:10" s="250" customFormat="1" ht="161.25" customHeight="1" x14ac:dyDescent="1.35">
      <c r="A28" s="262"/>
      <c r="B28" s="262"/>
      <c r="C28" s="262"/>
      <c r="D28" s="572" t="s">
        <v>283</v>
      </c>
      <c r="E28" s="573"/>
      <c r="F28" s="281">
        <f>SUM(F21:F27)</f>
        <v>112906</v>
      </c>
      <c r="G28" s="264"/>
      <c r="H28" s="272"/>
      <c r="I28" s="262"/>
      <c r="J28" s="262"/>
    </row>
    <row r="29" spans="1:10" s="250" customFormat="1" ht="143.25" customHeight="1" x14ac:dyDescent="1.35">
      <c r="A29" s="262"/>
      <c r="B29" s="262"/>
      <c r="C29" s="262"/>
      <c r="D29" s="574" t="s">
        <v>282</v>
      </c>
      <c r="E29" s="575"/>
      <c r="F29" s="284">
        <v>111911</v>
      </c>
      <c r="G29" s="264"/>
      <c r="H29" s="272"/>
      <c r="I29" s="262"/>
      <c r="J29" s="262"/>
    </row>
    <row r="30" spans="1:10" s="250" customFormat="1" ht="258.75" customHeight="1" thickBot="1" x14ac:dyDescent="1.4">
      <c r="A30" s="262"/>
      <c r="B30" s="262"/>
      <c r="C30" s="262"/>
      <c r="D30" s="576" t="s">
        <v>284</v>
      </c>
      <c r="E30" s="577"/>
      <c r="F30" s="287">
        <f>+F28-F29</f>
        <v>995</v>
      </c>
      <c r="G30" s="264"/>
      <c r="H30" s="272"/>
      <c r="I30" s="262"/>
      <c r="J30" s="262"/>
    </row>
  </sheetData>
  <mergeCells count="5">
    <mergeCell ref="D18:F18"/>
    <mergeCell ref="D19:F19"/>
    <mergeCell ref="D28:E28"/>
    <mergeCell ref="D29:E29"/>
    <mergeCell ref="D30:E30"/>
  </mergeCells>
  <conditionalFormatting sqref="A1">
    <cfRule type="cellIs" dxfId="59" priority="5" operator="equal">
      <formula>#REF!</formula>
    </cfRule>
  </conditionalFormatting>
  <conditionalFormatting sqref="A2:A3 A14:A21 A28:A30">
    <cfRule type="cellIs" dxfId="58" priority="7" operator="equal">
      <formula>#REF!</formula>
    </cfRule>
  </conditionalFormatting>
  <conditionalFormatting sqref="A4:A13">
    <cfRule type="cellIs" dxfId="57" priority="1" operator="equal">
      <formula>#REF!</formula>
    </cfRule>
  </conditionalFormatting>
  <conditionalFormatting sqref="A22:A27">
    <cfRule type="cellIs" dxfId="56" priority="3" operator="equal">
      <formula>#REF!</formula>
    </cfRule>
  </conditionalFormatting>
  <conditionalFormatting sqref="B1">
    <cfRule type="cellIs" dxfId="55" priority="4" operator="equal">
      <formula>#REF!</formula>
    </cfRule>
  </conditionalFormatting>
  <conditionalFormatting sqref="C2:D2">
    <cfRule type="duplicateValues" dxfId="54" priority="6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1" manualBreakCount="1">
    <brk id="17" max="16383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J35"/>
  <sheetViews>
    <sheetView rightToLeft="1" view="pageBreakPreview" zoomScale="10" zoomScaleNormal="10" zoomScaleSheetLayoutView="10" workbookViewId="0">
      <pane ySplit="2" topLeftCell="A3" activePane="bottomLeft" state="frozen"/>
      <selection activeCell="A2" sqref="A2"/>
      <selection pane="bottomLeft" activeCell="A4" sqref="A4:I19"/>
    </sheetView>
  </sheetViews>
  <sheetFormatPr defaultColWidth="42.85546875" defaultRowHeight="258.75" customHeight="1" x14ac:dyDescent="0.55000000000000004"/>
  <cols>
    <col min="1" max="1" width="69.7109375" style="334" customWidth="1"/>
    <col min="2" max="2" width="120.140625" style="334" bestFit="1" customWidth="1"/>
    <col min="3" max="3" width="133.8554687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61.42578125" style="334" customWidth="1"/>
    <col min="9" max="9" width="254.42578125" style="334" customWidth="1"/>
    <col min="10" max="10" width="113" style="334" customWidth="1"/>
    <col min="11" max="16384" width="42.85546875" style="334"/>
  </cols>
  <sheetData>
    <row r="1" spans="1:10" ht="258.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198.75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198.75" customHeight="1" x14ac:dyDescent="0.9">
      <c r="A3" s="262"/>
      <c r="B3" s="263"/>
      <c r="C3" s="262"/>
      <c r="D3" s="262"/>
      <c r="E3" s="264"/>
      <c r="F3" s="264"/>
      <c r="G3" s="265">
        <v>902606</v>
      </c>
      <c r="H3" s="265" t="s">
        <v>129</v>
      </c>
      <c r="I3" s="262"/>
      <c r="J3" s="262"/>
    </row>
    <row r="4" spans="1:10" s="453" customFormat="1" ht="309" customHeight="1" x14ac:dyDescent="1.35">
      <c r="A4" s="431" t="s">
        <v>113</v>
      </c>
      <c r="B4" s="432">
        <v>45243</v>
      </c>
      <c r="C4" s="431">
        <v>1805</v>
      </c>
      <c r="D4" s="451"/>
      <c r="E4" s="452"/>
      <c r="F4" s="433">
        <v>50000</v>
      </c>
      <c r="G4" s="434">
        <f>G3+E4-F4</f>
        <v>852606</v>
      </c>
      <c r="H4" s="434" t="s">
        <v>71</v>
      </c>
      <c r="I4" s="431" t="s">
        <v>77</v>
      </c>
      <c r="J4" s="431"/>
    </row>
    <row r="5" spans="1:10" s="250" customFormat="1" ht="256.5" customHeight="1" x14ac:dyDescent="1.35">
      <c r="A5" s="426" t="s">
        <v>113</v>
      </c>
      <c r="B5" s="427">
        <v>45243</v>
      </c>
      <c r="C5" s="426">
        <v>1806</v>
      </c>
      <c r="D5" s="454"/>
      <c r="E5" s="455"/>
      <c r="F5" s="428">
        <v>1240</v>
      </c>
      <c r="G5" s="429">
        <f>G4+E5-F5</f>
        <v>851366</v>
      </c>
      <c r="H5" s="429" t="s">
        <v>72</v>
      </c>
      <c r="I5" s="426" t="s">
        <v>684</v>
      </c>
      <c r="J5" s="426"/>
    </row>
    <row r="6" spans="1:10" s="453" customFormat="1" ht="309" customHeight="1" x14ac:dyDescent="1.35">
      <c r="A6" s="431" t="s">
        <v>113</v>
      </c>
      <c r="B6" s="432">
        <v>45243</v>
      </c>
      <c r="C6" s="431">
        <v>1807</v>
      </c>
      <c r="D6" s="451"/>
      <c r="E6" s="452"/>
      <c r="F6" s="433">
        <v>5900</v>
      </c>
      <c r="G6" s="434">
        <f>G5+E6-F6</f>
        <v>845466</v>
      </c>
      <c r="H6" s="434" t="s">
        <v>152</v>
      </c>
      <c r="I6" s="431" t="s">
        <v>685</v>
      </c>
      <c r="J6" s="431"/>
    </row>
    <row r="7" spans="1:10" s="250" customFormat="1" ht="256.5" customHeight="1" x14ac:dyDescent="1.35">
      <c r="A7" s="426" t="s">
        <v>113</v>
      </c>
      <c r="B7" s="427">
        <v>45243</v>
      </c>
      <c r="C7" s="426">
        <v>1808</v>
      </c>
      <c r="D7" s="454"/>
      <c r="E7" s="455"/>
      <c r="F7" s="428">
        <v>1000</v>
      </c>
      <c r="G7" s="429">
        <f t="shared" ref="G7:G19" si="0">G6+E7-F7</f>
        <v>844466</v>
      </c>
      <c r="H7" s="429" t="s">
        <v>686</v>
      </c>
      <c r="I7" s="426" t="s">
        <v>75</v>
      </c>
      <c r="J7" s="426"/>
    </row>
    <row r="8" spans="1:10" s="453" customFormat="1" ht="309" customHeight="1" x14ac:dyDescent="1.35">
      <c r="A8" s="431" t="s">
        <v>113</v>
      </c>
      <c r="B8" s="432">
        <v>45243</v>
      </c>
      <c r="C8" s="431">
        <v>1809</v>
      </c>
      <c r="D8" s="451"/>
      <c r="E8" s="452"/>
      <c r="F8" s="433">
        <v>0</v>
      </c>
      <c r="G8" s="434">
        <f t="shared" si="0"/>
        <v>844466</v>
      </c>
      <c r="H8" s="434" t="s">
        <v>62</v>
      </c>
      <c r="I8" s="431" t="s">
        <v>62</v>
      </c>
      <c r="J8" s="431"/>
    </row>
    <row r="9" spans="1:10" s="250" customFormat="1" ht="256.5" customHeight="1" x14ac:dyDescent="1.35">
      <c r="A9" s="426" t="s">
        <v>113</v>
      </c>
      <c r="B9" s="427">
        <v>45243</v>
      </c>
      <c r="C9" s="426">
        <v>1810</v>
      </c>
      <c r="D9" s="454"/>
      <c r="E9" s="455"/>
      <c r="F9" s="428">
        <v>4000</v>
      </c>
      <c r="G9" s="429">
        <f t="shared" si="0"/>
        <v>840466</v>
      </c>
      <c r="H9" s="429" t="s">
        <v>272</v>
      </c>
      <c r="I9" s="426" t="s">
        <v>687</v>
      </c>
      <c r="J9" s="426"/>
    </row>
    <row r="10" spans="1:10" s="453" customFormat="1" ht="309" customHeight="1" x14ac:dyDescent="1.35">
      <c r="A10" s="431" t="s">
        <v>113</v>
      </c>
      <c r="B10" s="432">
        <v>45243</v>
      </c>
      <c r="C10" s="431">
        <v>1811</v>
      </c>
      <c r="D10" s="451"/>
      <c r="E10" s="452"/>
      <c r="F10" s="433">
        <v>230000</v>
      </c>
      <c r="G10" s="434">
        <f t="shared" si="0"/>
        <v>610466</v>
      </c>
      <c r="H10" s="434" t="s">
        <v>688</v>
      </c>
      <c r="I10" s="431" t="s">
        <v>689</v>
      </c>
      <c r="J10" s="431"/>
    </row>
    <row r="11" spans="1:10" s="250" customFormat="1" ht="256.5" customHeight="1" x14ac:dyDescent="1.35">
      <c r="A11" s="426" t="s">
        <v>113</v>
      </c>
      <c r="B11" s="427">
        <v>45243</v>
      </c>
      <c r="C11" s="426">
        <v>1812</v>
      </c>
      <c r="D11" s="454"/>
      <c r="E11" s="455"/>
      <c r="F11" s="428">
        <v>10000</v>
      </c>
      <c r="G11" s="429">
        <f t="shared" si="0"/>
        <v>600466</v>
      </c>
      <c r="H11" s="429" t="s">
        <v>690</v>
      </c>
      <c r="I11" s="426" t="s">
        <v>691</v>
      </c>
      <c r="J11" s="426"/>
    </row>
    <row r="12" spans="1:10" s="453" customFormat="1" ht="309" customHeight="1" x14ac:dyDescent="1.35">
      <c r="A12" s="431" t="s">
        <v>113</v>
      </c>
      <c r="B12" s="432">
        <v>45243</v>
      </c>
      <c r="C12" s="431">
        <v>1813</v>
      </c>
      <c r="D12" s="451"/>
      <c r="E12" s="452"/>
      <c r="F12" s="433">
        <v>3750</v>
      </c>
      <c r="G12" s="434">
        <f t="shared" si="0"/>
        <v>596716</v>
      </c>
      <c r="H12" s="434" t="s">
        <v>538</v>
      </c>
      <c r="I12" s="431" t="s">
        <v>692</v>
      </c>
      <c r="J12" s="431"/>
    </row>
    <row r="13" spans="1:10" s="250" customFormat="1" ht="256.5" customHeight="1" x14ac:dyDescent="1.35">
      <c r="A13" s="426" t="s">
        <v>113</v>
      </c>
      <c r="B13" s="427">
        <v>45243</v>
      </c>
      <c r="C13" s="426">
        <v>1814</v>
      </c>
      <c r="D13" s="454"/>
      <c r="E13" s="455"/>
      <c r="F13" s="428">
        <v>100000</v>
      </c>
      <c r="G13" s="429">
        <f t="shared" si="0"/>
        <v>496716</v>
      </c>
      <c r="H13" s="429" t="s">
        <v>693</v>
      </c>
      <c r="I13" s="426" t="s">
        <v>452</v>
      </c>
      <c r="J13" s="426"/>
    </row>
    <row r="14" spans="1:10" s="250" customFormat="1" ht="256.5" customHeight="1" x14ac:dyDescent="1.35">
      <c r="A14" s="426" t="s">
        <v>113</v>
      </c>
      <c r="B14" s="427"/>
      <c r="C14" s="426"/>
      <c r="D14" s="454"/>
      <c r="E14" s="455">
        <v>2345</v>
      </c>
      <c r="F14" s="428"/>
      <c r="G14" s="429">
        <f t="shared" si="0"/>
        <v>499061</v>
      </c>
      <c r="H14" s="429" t="s">
        <v>83</v>
      </c>
      <c r="I14" s="426" t="s">
        <v>702</v>
      </c>
      <c r="J14" s="426"/>
    </row>
    <row r="15" spans="1:10" s="250" customFormat="1" ht="256.5" customHeight="1" x14ac:dyDescent="1.35">
      <c r="A15" s="426" t="s">
        <v>113</v>
      </c>
      <c r="B15" s="427"/>
      <c r="C15" s="426"/>
      <c r="D15" s="454"/>
      <c r="E15" s="455">
        <v>1855</v>
      </c>
      <c r="F15" s="428"/>
      <c r="G15" s="429">
        <f t="shared" si="0"/>
        <v>500916</v>
      </c>
      <c r="H15" s="429" t="s">
        <v>83</v>
      </c>
      <c r="I15" s="426" t="s">
        <v>703</v>
      </c>
      <c r="J15" s="426"/>
    </row>
    <row r="16" spans="1:10" s="250" customFormat="1" ht="256.5" customHeight="1" x14ac:dyDescent="1.35">
      <c r="A16" s="426" t="s">
        <v>113</v>
      </c>
      <c r="B16" s="427"/>
      <c r="C16" s="426"/>
      <c r="D16" s="454">
        <v>1259</v>
      </c>
      <c r="E16" s="455">
        <v>102000</v>
      </c>
      <c r="F16" s="428"/>
      <c r="G16" s="429">
        <f t="shared" si="0"/>
        <v>602916</v>
      </c>
      <c r="H16" s="429" t="s">
        <v>694</v>
      </c>
      <c r="I16" s="426" t="s">
        <v>695</v>
      </c>
      <c r="J16" s="426"/>
    </row>
    <row r="17" spans="1:10" s="250" customFormat="1" ht="256.5" customHeight="1" x14ac:dyDescent="1.35">
      <c r="A17" s="426" t="s">
        <v>113</v>
      </c>
      <c r="B17" s="427"/>
      <c r="C17" s="426"/>
      <c r="D17" s="454">
        <v>1260</v>
      </c>
      <c r="E17" s="455">
        <v>160000</v>
      </c>
      <c r="F17" s="428"/>
      <c r="G17" s="429">
        <f t="shared" si="0"/>
        <v>762916</v>
      </c>
      <c r="H17" s="429" t="s">
        <v>696</v>
      </c>
      <c r="I17" s="426" t="s">
        <v>697</v>
      </c>
      <c r="J17" s="426"/>
    </row>
    <row r="18" spans="1:10" s="250" customFormat="1" ht="256.5" customHeight="1" x14ac:dyDescent="1.35">
      <c r="A18" s="426" t="s">
        <v>113</v>
      </c>
      <c r="B18" s="427"/>
      <c r="C18" s="426"/>
      <c r="D18" s="454">
        <v>1261</v>
      </c>
      <c r="E18" s="455">
        <v>50000</v>
      </c>
      <c r="F18" s="428"/>
      <c r="G18" s="429">
        <f t="shared" si="0"/>
        <v>812916</v>
      </c>
      <c r="H18" s="429" t="s">
        <v>698</v>
      </c>
      <c r="I18" s="426" t="s">
        <v>699</v>
      </c>
      <c r="J18" s="426"/>
    </row>
    <row r="19" spans="1:10" s="458" customFormat="1" ht="286.5" customHeight="1" x14ac:dyDescent="1.35">
      <c r="A19" s="441" t="s">
        <v>113</v>
      </c>
      <c r="B19" s="442"/>
      <c r="C19" s="441"/>
      <c r="D19" s="456"/>
      <c r="E19" s="457"/>
      <c r="F19" s="443">
        <v>700000</v>
      </c>
      <c r="G19" s="444">
        <f t="shared" si="0"/>
        <v>112916</v>
      </c>
      <c r="H19" s="444" t="s">
        <v>700</v>
      </c>
      <c r="I19" s="459" t="s">
        <v>701</v>
      </c>
      <c r="J19" s="441"/>
    </row>
    <row r="20" spans="1:10" ht="116.25" customHeight="1" thickBot="1" x14ac:dyDescent="0.6">
      <c r="A20" s="386"/>
      <c r="B20" s="398"/>
      <c r="C20" s="386"/>
      <c r="D20" s="386"/>
      <c r="E20" s="390"/>
      <c r="F20" s="388"/>
      <c r="G20" s="389"/>
      <c r="H20" s="391"/>
      <c r="I20" s="386"/>
      <c r="J20" s="386"/>
    </row>
    <row r="21" spans="1:10" s="250" customFormat="1" ht="236.25" customHeight="1" thickTop="1" x14ac:dyDescent="1.35">
      <c r="A21" s="270"/>
      <c r="B21" s="136" t="s">
        <v>127</v>
      </c>
      <c r="C21" s="137" t="s">
        <v>115</v>
      </c>
      <c r="D21" s="137" t="s">
        <v>179</v>
      </c>
      <c r="E21" s="137" t="s">
        <v>116</v>
      </c>
      <c r="F21" s="138" t="s">
        <v>180</v>
      </c>
      <c r="G21" s="139" t="s">
        <v>211</v>
      </c>
      <c r="H21" s="271"/>
      <c r="I21" s="447"/>
      <c r="J21" s="150"/>
    </row>
    <row r="22" spans="1:10" ht="213.75" customHeight="1" thickBot="1" x14ac:dyDescent="0.6">
      <c r="A22" s="161"/>
      <c r="B22" s="140">
        <f>$G$3</f>
        <v>902606</v>
      </c>
      <c r="C22" s="141">
        <f>SUMIF(A4:A19,B1,E4:E$19)</f>
        <v>316200</v>
      </c>
      <c r="D22" s="141">
        <f>SUMIF(A4:A19,B1,F4:$F$19)</f>
        <v>1105890</v>
      </c>
      <c r="E22" s="141">
        <f>SUMIF(A3:A19,A1,E3:$E$19)</f>
        <v>0</v>
      </c>
      <c r="F22" s="141">
        <f>SUMIF(A3:A19,A1,F3:$F$19)</f>
        <v>0</v>
      </c>
      <c r="G22" s="142">
        <f>+B22+C22+E22-D22-F22</f>
        <v>112916</v>
      </c>
      <c r="H22" s="164"/>
      <c r="I22" s="180"/>
      <c r="J22" s="180"/>
    </row>
    <row r="23" spans="1:10" ht="288.75" customHeight="1" thickTop="1" x14ac:dyDescent="0.55000000000000004">
      <c r="A23" s="161"/>
      <c r="B23" s="262"/>
      <c r="C23" s="259">
        <f>+B22+C22-D22</f>
        <v>112916</v>
      </c>
      <c r="D23" s="566" t="s">
        <v>181</v>
      </c>
      <c r="E23" s="566"/>
      <c r="F23" s="566"/>
      <c r="G23" s="264"/>
      <c r="H23" s="164"/>
      <c r="I23" s="161"/>
      <c r="J23" s="161"/>
    </row>
    <row r="24" spans="1:10" s="250" customFormat="1" ht="146.25" customHeight="1" x14ac:dyDescent="1.35">
      <c r="A24" s="262"/>
      <c r="B24" s="262"/>
      <c r="C24" s="273"/>
      <c r="D24" s="567" t="s">
        <v>278</v>
      </c>
      <c r="E24" s="567"/>
      <c r="F24" s="567"/>
      <c r="G24" s="264"/>
      <c r="H24" s="272"/>
      <c r="I24" s="262"/>
      <c r="J24" s="262"/>
    </row>
    <row r="25" spans="1:10" s="250" customFormat="1" ht="258.75" customHeight="1" x14ac:dyDescent="1.35">
      <c r="A25" s="262"/>
      <c r="B25" s="262"/>
      <c r="C25" s="273"/>
      <c r="D25" s="274" t="s">
        <v>279</v>
      </c>
      <c r="E25" s="274" t="s">
        <v>280</v>
      </c>
      <c r="F25" s="274" t="s">
        <v>281</v>
      </c>
      <c r="G25" s="264"/>
      <c r="H25" s="272"/>
      <c r="I25" s="262"/>
      <c r="J25" s="262"/>
    </row>
    <row r="26" spans="1:10" ht="258.75" customHeight="1" x14ac:dyDescent="0.55000000000000004">
      <c r="A26" s="161"/>
      <c r="B26" s="161"/>
      <c r="C26" s="161"/>
      <c r="D26" s="275">
        <v>429</v>
      </c>
      <c r="E26" s="276">
        <v>200</v>
      </c>
      <c r="F26" s="276">
        <f>+E26*D26</f>
        <v>85800</v>
      </c>
      <c r="G26" s="163"/>
      <c r="H26" s="164"/>
      <c r="I26" s="161"/>
      <c r="J26" s="161"/>
    </row>
    <row r="27" spans="1:10" ht="251.25" customHeight="1" x14ac:dyDescent="0.55000000000000004">
      <c r="A27" s="161"/>
      <c r="B27" s="161"/>
      <c r="C27" s="161"/>
      <c r="D27" s="275">
        <v>239</v>
      </c>
      <c r="E27" s="276">
        <v>100</v>
      </c>
      <c r="F27" s="276">
        <f t="shared" ref="F27:F32" si="1">+E27*D27</f>
        <v>23900</v>
      </c>
      <c r="G27" s="163"/>
      <c r="H27" s="164"/>
      <c r="I27" s="161"/>
      <c r="J27" s="161"/>
    </row>
    <row r="28" spans="1:10" ht="258.75" customHeight="1" x14ac:dyDescent="0.55000000000000004">
      <c r="A28" s="161"/>
      <c r="B28" s="161"/>
      <c r="C28" s="161"/>
      <c r="D28" s="275">
        <v>36</v>
      </c>
      <c r="E28" s="276">
        <v>50</v>
      </c>
      <c r="F28" s="276">
        <f t="shared" si="1"/>
        <v>1800</v>
      </c>
      <c r="G28" s="163"/>
      <c r="H28" s="164"/>
      <c r="I28" s="161"/>
      <c r="J28" s="161"/>
    </row>
    <row r="29" spans="1:10" ht="213.75" customHeight="1" x14ac:dyDescent="0.55000000000000004">
      <c r="A29" s="161"/>
      <c r="B29" s="161"/>
      <c r="C29" s="161"/>
      <c r="D29" s="275">
        <v>14</v>
      </c>
      <c r="E29" s="276">
        <v>20</v>
      </c>
      <c r="F29" s="276">
        <f t="shared" si="1"/>
        <v>280</v>
      </c>
      <c r="G29" s="163"/>
      <c r="H29" s="164"/>
      <c r="I29" s="161"/>
      <c r="J29" s="161"/>
    </row>
    <row r="30" spans="1:10" ht="258.75" customHeight="1" x14ac:dyDescent="0.55000000000000004">
      <c r="A30" s="161"/>
      <c r="B30" s="161"/>
      <c r="C30" s="161"/>
      <c r="D30" s="275">
        <v>90</v>
      </c>
      <c r="E30" s="276">
        <v>10</v>
      </c>
      <c r="F30" s="276">
        <f t="shared" si="1"/>
        <v>900</v>
      </c>
      <c r="G30" s="163"/>
      <c r="H30" s="164"/>
      <c r="I30" s="161"/>
      <c r="J30" s="161"/>
    </row>
    <row r="31" spans="1:10" ht="258.75" customHeight="1" x14ac:dyDescent="0.55000000000000004">
      <c r="A31" s="161"/>
      <c r="B31" s="161"/>
      <c r="C31" s="161"/>
      <c r="D31" s="275">
        <v>45</v>
      </c>
      <c r="E31" s="276">
        <v>5</v>
      </c>
      <c r="F31" s="276">
        <f t="shared" si="1"/>
        <v>225</v>
      </c>
      <c r="G31" s="163"/>
      <c r="H31" s="164"/>
      <c r="I31" s="161"/>
      <c r="J31" s="161"/>
    </row>
    <row r="32" spans="1:10" ht="258.75" customHeight="1" thickBot="1" x14ac:dyDescent="0.6">
      <c r="A32" s="161"/>
      <c r="B32" s="161"/>
      <c r="C32" s="161"/>
      <c r="D32" s="275">
        <v>1</v>
      </c>
      <c r="E32" s="276">
        <v>1</v>
      </c>
      <c r="F32" s="276">
        <f t="shared" si="1"/>
        <v>1</v>
      </c>
      <c r="G32" s="163"/>
      <c r="H32" s="164"/>
      <c r="I32" s="161"/>
      <c r="J32" s="161"/>
    </row>
    <row r="33" spans="1:10" s="250" customFormat="1" ht="213.75" customHeight="1" x14ac:dyDescent="1.35">
      <c r="A33" s="262"/>
      <c r="B33" s="262"/>
      <c r="C33" s="262"/>
      <c r="D33" s="572" t="s">
        <v>283</v>
      </c>
      <c r="E33" s="573"/>
      <c r="F33" s="281">
        <f>SUM(F26:F32)</f>
        <v>112906</v>
      </c>
      <c r="G33" s="264"/>
      <c r="H33" s="272"/>
      <c r="I33" s="262"/>
      <c r="J33" s="262"/>
    </row>
    <row r="34" spans="1:10" s="250" customFormat="1" ht="225.75" customHeight="1" x14ac:dyDescent="1.35">
      <c r="A34" s="262"/>
      <c r="B34" s="262"/>
      <c r="C34" s="262"/>
      <c r="D34" s="574" t="s">
        <v>282</v>
      </c>
      <c r="E34" s="575"/>
      <c r="F34" s="284">
        <f>C23</f>
        <v>112916</v>
      </c>
      <c r="G34" s="264"/>
      <c r="H34" s="272"/>
      <c r="I34" s="262"/>
      <c r="J34" s="262"/>
    </row>
    <row r="35" spans="1:10" s="250" customFormat="1" ht="258.75" customHeight="1" thickBot="1" x14ac:dyDescent="1.4">
      <c r="A35" s="262"/>
      <c r="B35" s="262"/>
      <c r="C35" s="262"/>
      <c r="D35" s="576" t="s">
        <v>284</v>
      </c>
      <c r="E35" s="577"/>
      <c r="F35" s="287">
        <f>+F33-F34</f>
        <v>-10</v>
      </c>
      <c r="G35" s="264"/>
      <c r="H35" s="272"/>
      <c r="I35" s="262"/>
      <c r="J35" s="262"/>
    </row>
  </sheetData>
  <mergeCells count="5">
    <mergeCell ref="D23:F23"/>
    <mergeCell ref="D24:F24"/>
    <mergeCell ref="D33:E33"/>
    <mergeCell ref="D34:E34"/>
    <mergeCell ref="D35:E35"/>
  </mergeCells>
  <conditionalFormatting sqref="A1">
    <cfRule type="cellIs" dxfId="53" priority="5" operator="equal">
      <formula>#REF!</formula>
    </cfRule>
  </conditionalFormatting>
  <conditionalFormatting sqref="A2:A3 A6:A26 A33:A35">
    <cfRule type="cellIs" dxfId="52" priority="7" operator="equal">
      <formula>#REF!</formula>
    </cfRule>
  </conditionalFormatting>
  <conditionalFormatting sqref="A4:A5">
    <cfRule type="cellIs" dxfId="51" priority="2" operator="equal">
      <formula>#REF!</formula>
    </cfRule>
  </conditionalFormatting>
  <conditionalFormatting sqref="A27:A32">
    <cfRule type="cellIs" dxfId="50" priority="3" operator="equal">
      <formula>#REF!</formula>
    </cfRule>
  </conditionalFormatting>
  <conditionalFormatting sqref="B1">
    <cfRule type="cellIs" dxfId="49" priority="4" operator="equal">
      <formula>#REF!</formula>
    </cfRule>
  </conditionalFormatting>
  <conditionalFormatting sqref="C2:D2">
    <cfRule type="duplicateValues" dxfId="48" priority="6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1" manualBreakCount="1">
    <brk id="19" max="16383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J34"/>
  <sheetViews>
    <sheetView rightToLeft="1" view="pageBreakPreview" zoomScale="10" zoomScaleNormal="10" zoomScaleSheetLayoutView="10" workbookViewId="0">
      <pane ySplit="2" topLeftCell="A3" activePane="bottomLeft" state="frozen"/>
      <selection activeCell="A2" sqref="A2"/>
      <selection pane="bottomLeft" activeCell="A4" sqref="A4:I18"/>
    </sheetView>
  </sheetViews>
  <sheetFormatPr defaultColWidth="42.85546875" defaultRowHeight="258.75" customHeight="1" x14ac:dyDescent="0.55000000000000004"/>
  <cols>
    <col min="1" max="1" width="69.7109375" style="334" customWidth="1"/>
    <col min="2" max="2" width="120.140625" style="334" bestFit="1" customWidth="1"/>
    <col min="3" max="3" width="133.8554687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61.42578125" style="334" customWidth="1"/>
    <col min="9" max="9" width="254.42578125" style="334" customWidth="1"/>
    <col min="10" max="10" width="113" style="334" customWidth="1"/>
    <col min="11" max="16384" width="42.85546875" style="334"/>
  </cols>
  <sheetData>
    <row r="1" spans="1:10" ht="258.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198.75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198.75" customHeight="1" x14ac:dyDescent="0.9">
      <c r="A3" s="262"/>
      <c r="B3" s="263"/>
      <c r="C3" s="262"/>
      <c r="D3" s="262"/>
      <c r="E3" s="264"/>
      <c r="F3" s="264"/>
      <c r="G3" s="265">
        <v>112916</v>
      </c>
      <c r="H3" s="265" t="s">
        <v>129</v>
      </c>
      <c r="I3" s="262"/>
      <c r="J3" s="262"/>
    </row>
    <row r="4" spans="1:10" s="453" customFormat="1" ht="309" customHeight="1" x14ac:dyDescent="1.35">
      <c r="A4" s="431" t="s">
        <v>113</v>
      </c>
      <c r="B4" s="432">
        <v>44940</v>
      </c>
      <c r="C4" s="431"/>
      <c r="D4" s="451"/>
      <c r="E4" s="457">
        <v>100000</v>
      </c>
      <c r="F4" s="433"/>
      <c r="G4" s="434">
        <f>G3+E4-F4</f>
        <v>212916</v>
      </c>
      <c r="H4" s="434" t="s">
        <v>704</v>
      </c>
      <c r="I4" s="431" t="s">
        <v>705</v>
      </c>
      <c r="J4" s="431"/>
    </row>
    <row r="5" spans="1:10" s="250" customFormat="1" ht="256.5" customHeight="1" x14ac:dyDescent="1.35">
      <c r="A5" s="426" t="s">
        <v>113</v>
      </c>
      <c r="B5" s="432">
        <v>44940</v>
      </c>
      <c r="C5" s="426"/>
      <c r="D5" s="454">
        <v>1262</v>
      </c>
      <c r="E5" s="455">
        <v>93750</v>
      </c>
      <c r="F5" s="428"/>
      <c r="G5" s="429">
        <f>G4+E5-F5</f>
        <v>306666</v>
      </c>
      <c r="H5" s="429" t="s">
        <v>709</v>
      </c>
      <c r="I5" s="426" t="s">
        <v>710</v>
      </c>
      <c r="J5" s="426"/>
    </row>
    <row r="6" spans="1:10" s="453" customFormat="1" ht="309" customHeight="1" x14ac:dyDescent="1.35">
      <c r="A6" s="431" t="s">
        <v>113</v>
      </c>
      <c r="B6" s="432">
        <v>44940</v>
      </c>
      <c r="C6" s="431"/>
      <c r="D6" s="451">
        <v>1263</v>
      </c>
      <c r="E6" s="452">
        <v>100000</v>
      </c>
      <c r="F6" s="433"/>
      <c r="G6" s="434">
        <f>G5+E6-F6</f>
        <v>406666</v>
      </c>
      <c r="H6" s="434" t="s">
        <v>715</v>
      </c>
      <c r="I6" s="431" t="s">
        <v>716</v>
      </c>
      <c r="J6" s="431"/>
    </row>
    <row r="7" spans="1:10" s="453" customFormat="1" ht="309" customHeight="1" x14ac:dyDescent="1.35">
      <c r="A7" s="431" t="s">
        <v>113</v>
      </c>
      <c r="B7" s="432">
        <v>44940</v>
      </c>
      <c r="C7" s="431"/>
      <c r="D7" s="451">
        <v>1264</v>
      </c>
      <c r="E7" s="452">
        <v>75000</v>
      </c>
      <c r="F7" s="433"/>
      <c r="G7" s="434">
        <f t="shared" ref="G7:G12" si="0">G6+E7-F7</f>
        <v>481666</v>
      </c>
      <c r="H7" s="434" t="s">
        <v>717</v>
      </c>
      <c r="I7" s="431" t="s">
        <v>718</v>
      </c>
      <c r="J7" s="431"/>
    </row>
    <row r="8" spans="1:10" s="453" customFormat="1" ht="309" customHeight="1" x14ac:dyDescent="1.35">
      <c r="A8" s="431" t="s">
        <v>113</v>
      </c>
      <c r="B8" s="432">
        <v>44940</v>
      </c>
      <c r="C8" s="431"/>
      <c r="D8" s="451">
        <v>1265</v>
      </c>
      <c r="E8" s="452">
        <v>100000</v>
      </c>
      <c r="F8" s="433"/>
      <c r="G8" s="434">
        <f t="shared" si="0"/>
        <v>581666</v>
      </c>
      <c r="H8" s="434" t="s">
        <v>735</v>
      </c>
      <c r="I8" s="431" t="s">
        <v>736</v>
      </c>
      <c r="J8" s="431"/>
    </row>
    <row r="9" spans="1:10" s="453" customFormat="1" ht="309" customHeight="1" x14ac:dyDescent="1.35">
      <c r="A9" s="431" t="s">
        <v>113</v>
      </c>
      <c r="B9" s="432">
        <v>44940</v>
      </c>
      <c r="C9" s="431"/>
      <c r="D9" s="451">
        <v>1266</v>
      </c>
      <c r="E9" s="452">
        <v>148000</v>
      </c>
      <c r="F9" s="433"/>
      <c r="G9" s="434">
        <f t="shared" si="0"/>
        <v>729666</v>
      </c>
      <c r="H9" s="434" t="s">
        <v>737</v>
      </c>
      <c r="I9" s="431" t="s">
        <v>738</v>
      </c>
      <c r="J9" s="431"/>
    </row>
    <row r="10" spans="1:10" s="453" customFormat="1" ht="309" customHeight="1" x14ac:dyDescent="1.35">
      <c r="A10" s="431" t="s">
        <v>113</v>
      </c>
      <c r="B10" s="432">
        <v>44940</v>
      </c>
      <c r="C10" s="431"/>
      <c r="D10" s="451"/>
      <c r="E10" s="452">
        <v>2256</v>
      </c>
      <c r="F10" s="433"/>
      <c r="G10" s="434">
        <f t="shared" si="0"/>
        <v>731922</v>
      </c>
      <c r="H10" s="434" t="s">
        <v>128</v>
      </c>
      <c r="I10" s="431"/>
      <c r="J10" s="431"/>
    </row>
    <row r="11" spans="1:10" s="453" customFormat="1" ht="309" customHeight="1" x14ac:dyDescent="1.35">
      <c r="A11" s="431" t="s">
        <v>113</v>
      </c>
      <c r="B11" s="432">
        <v>44940</v>
      </c>
      <c r="C11" s="431">
        <v>1815</v>
      </c>
      <c r="D11" s="451"/>
      <c r="E11" s="452"/>
      <c r="F11" s="433">
        <v>20000</v>
      </c>
      <c r="G11" s="434">
        <f t="shared" si="0"/>
        <v>711922</v>
      </c>
      <c r="H11" s="434" t="s">
        <v>706</v>
      </c>
      <c r="I11" s="431" t="s">
        <v>707</v>
      </c>
      <c r="J11" s="431"/>
    </row>
    <row r="12" spans="1:10" s="250" customFormat="1" ht="256.5" customHeight="1" x14ac:dyDescent="1.35">
      <c r="A12" s="426" t="s">
        <v>113</v>
      </c>
      <c r="B12" s="432">
        <v>44940</v>
      </c>
      <c r="C12" s="426">
        <v>1816</v>
      </c>
      <c r="D12" s="454"/>
      <c r="E12" s="455"/>
      <c r="F12" s="428">
        <v>1995</v>
      </c>
      <c r="G12" s="434">
        <f t="shared" si="0"/>
        <v>709927</v>
      </c>
      <c r="H12" s="429" t="s">
        <v>113</v>
      </c>
      <c r="I12" s="426" t="s">
        <v>708</v>
      </c>
      <c r="J12" s="426"/>
    </row>
    <row r="13" spans="1:10" s="453" customFormat="1" ht="309" customHeight="1" x14ac:dyDescent="1.35">
      <c r="A13" s="431" t="s">
        <v>113</v>
      </c>
      <c r="B13" s="432">
        <v>44940</v>
      </c>
      <c r="C13" s="431">
        <v>1817</v>
      </c>
      <c r="D13" s="451"/>
      <c r="E13" s="452"/>
      <c r="F13" s="433">
        <v>1000</v>
      </c>
      <c r="G13" s="434">
        <f t="shared" ref="G13:G15" si="1">G12+E13-F13</f>
        <v>708927</v>
      </c>
      <c r="H13" s="434" t="s">
        <v>711</v>
      </c>
      <c r="I13" s="431" t="s">
        <v>712</v>
      </c>
      <c r="J13" s="431"/>
    </row>
    <row r="14" spans="1:10" s="250" customFormat="1" ht="256.5" customHeight="1" x14ac:dyDescent="1.35">
      <c r="A14" s="426" t="s">
        <v>113</v>
      </c>
      <c r="B14" s="432">
        <v>44940</v>
      </c>
      <c r="C14" s="426">
        <v>1818</v>
      </c>
      <c r="D14" s="454"/>
      <c r="E14" s="455"/>
      <c r="F14" s="428">
        <v>15000</v>
      </c>
      <c r="G14" s="434">
        <f t="shared" si="1"/>
        <v>693927</v>
      </c>
      <c r="H14" s="429" t="s">
        <v>319</v>
      </c>
      <c r="I14" s="426" t="s">
        <v>713</v>
      </c>
      <c r="J14" s="426"/>
    </row>
    <row r="15" spans="1:10" s="250" customFormat="1" ht="256.5" customHeight="1" x14ac:dyDescent="1.35">
      <c r="A15" s="426" t="s">
        <v>113</v>
      </c>
      <c r="B15" s="432">
        <v>44940</v>
      </c>
      <c r="C15" s="426">
        <v>1819</v>
      </c>
      <c r="D15" s="454"/>
      <c r="E15" s="455"/>
      <c r="F15" s="428">
        <v>29150</v>
      </c>
      <c r="G15" s="434">
        <f t="shared" si="1"/>
        <v>664777</v>
      </c>
      <c r="H15" s="429" t="s">
        <v>154</v>
      </c>
      <c r="I15" s="426" t="s">
        <v>714</v>
      </c>
      <c r="J15" s="426"/>
    </row>
    <row r="16" spans="1:10" s="250" customFormat="1" ht="256.5" customHeight="1" x14ac:dyDescent="1.35">
      <c r="A16" s="426" t="s">
        <v>113</v>
      </c>
      <c r="B16" s="432">
        <v>44940</v>
      </c>
      <c r="C16" s="426">
        <v>1820</v>
      </c>
      <c r="D16" s="454"/>
      <c r="E16" s="455"/>
      <c r="F16" s="428">
        <v>5000</v>
      </c>
      <c r="G16" s="429">
        <f t="shared" ref="G16:G18" si="2">G15+E16-F16</f>
        <v>659777</v>
      </c>
      <c r="H16" s="429" t="s">
        <v>199</v>
      </c>
      <c r="I16" s="426" t="s">
        <v>316</v>
      </c>
      <c r="J16" s="426"/>
    </row>
    <row r="17" spans="1:10" s="250" customFormat="1" ht="256.5" customHeight="1" x14ac:dyDescent="1.35">
      <c r="A17" s="426" t="s">
        <v>113</v>
      </c>
      <c r="B17" s="432">
        <v>44940</v>
      </c>
      <c r="C17" s="426"/>
      <c r="D17" s="454"/>
      <c r="E17" s="455">
        <v>100000</v>
      </c>
      <c r="F17" s="428"/>
      <c r="G17" s="429">
        <f t="shared" si="2"/>
        <v>759777</v>
      </c>
      <c r="H17" s="429" t="s">
        <v>704</v>
      </c>
      <c r="I17" s="426"/>
      <c r="J17" s="426"/>
    </row>
    <row r="18" spans="1:10" s="458" customFormat="1" ht="286.5" customHeight="1" x14ac:dyDescent="1.35">
      <c r="A18" s="441" t="s">
        <v>113</v>
      </c>
      <c r="B18" s="432">
        <v>44940</v>
      </c>
      <c r="C18" s="441"/>
      <c r="D18" s="456"/>
      <c r="E18" s="457">
        <v>500000</v>
      </c>
      <c r="F18" s="443"/>
      <c r="G18" s="429">
        <f t="shared" si="2"/>
        <v>1259777</v>
      </c>
      <c r="H18" s="444" t="s">
        <v>499</v>
      </c>
      <c r="I18" s="459" t="s">
        <v>739</v>
      </c>
      <c r="J18" s="441"/>
    </row>
    <row r="19" spans="1:10" ht="116.25" customHeight="1" thickBot="1" x14ac:dyDescent="0.6">
      <c r="A19" s="386"/>
      <c r="B19" s="398"/>
      <c r="C19" s="386"/>
      <c r="D19" s="386"/>
      <c r="E19" s="390"/>
      <c r="F19" s="388"/>
      <c r="G19" s="389"/>
      <c r="H19" s="391"/>
      <c r="I19" s="386"/>
      <c r="J19" s="386"/>
    </row>
    <row r="20" spans="1:10" s="250" customFormat="1" ht="236.25" customHeight="1" thickTop="1" x14ac:dyDescent="1.35">
      <c r="A20" s="270"/>
      <c r="B20" s="136" t="s">
        <v>127</v>
      </c>
      <c r="C20" s="137" t="s">
        <v>115</v>
      </c>
      <c r="D20" s="137" t="s">
        <v>179</v>
      </c>
      <c r="E20" s="137" t="s">
        <v>116</v>
      </c>
      <c r="F20" s="138" t="s">
        <v>180</v>
      </c>
      <c r="G20" s="139" t="s">
        <v>211</v>
      </c>
      <c r="H20" s="271"/>
      <c r="I20" s="447"/>
      <c r="J20" s="150"/>
    </row>
    <row r="21" spans="1:10" ht="213.75" customHeight="1" thickBot="1" x14ac:dyDescent="0.6">
      <c r="A21" s="161"/>
      <c r="B21" s="140">
        <f>$G$3</f>
        <v>112916</v>
      </c>
      <c r="C21" s="141">
        <f>SUMIF(A4:A18,B1,E4:E$18)</f>
        <v>1219006</v>
      </c>
      <c r="D21" s="141">
        <f>SUMIF(A4:A18,B1,F4:$F$18)</f>
        <v>72145</v>
      </c>
      <c r="E21" s="141">
        <f>SUMIF(A3:A18,A1,E3:$E$18)</f>
        <v>0</v>
      </c>
      <c r="F21" s="141">
        <f>SUMIF(A3:A18,A1,F3:$F$18)</f>
        <v>0</v>
      </c>
      <c r="G21" s="142">
        <f>+B21+C21+E21-D21-F21</f>
        <v>1259777</v>
      </c>
      <c r="H21" s="164"/>
      <c r="I21" s="180"/>
      <c r="J21" s="180"/>
    </row>
    <row r="22" spans="1:10" ht="288.75" customHeight="1" thickTop="1" x14ac:dyDescent="0.55000000000000004">
      <c r="A22" s="161"/>
      <c r="B22" s="262"/>
      <c r="C22" s="259">
        <f>+B21+C21-D21</f>
        <v>1259777</v>
      </c>
      <c r="D22" s="566" t="s">
        <v>181</v>
      </c>
      <c r="E22" s="566"/>
      <c r="F22" s="566"/>
      <c r="G22" s="264"/>
      <c r="H22" s="164"/>
      <c r="I22" s="161"/>
      <c r="J22" s="161"/>
    </row>
    <row r="23" spans="1:10" s="250" customFormat="1" ht="146.25" customHeight="1" x14ac:dyDescent="1.35">
      <c r="A23" s="262"/>
      <c r="B23" s="262"/>
      <c r="C23" s="273"/>
      <c r="D23" s="567" t="s">
        <v>278</v>
      </c>
      <c r="E23" s="567"/>
      <c r="F23" s="567"/>
      <c r="G23" s="264"/>
      <c r="H23" s="272"/>
      <c r="I23" s="262"/>
      <c r="J23" s="262"/>
    </row>
    <row r="24" spans="1:10" s="250" customFormat="1" ht="258.75" customHeight="1" x14ac:dyDescent="1.35">
      <c r="A24" s="262"/>
      <c r="B24" s="262"/>
      <c r="C24" s="273"/>
      <c r="D24" s="274" t="s">
        <v>279</v>
      </c>
      <c r="E24" s="274" t="s">
        <v>280</v>
      </c>
      <c r="F24" s="274" t="s">
        <v>281</v>
      </c>
      <c r="G24" s="264"/>
      <c r="H24" s="272"/>
      <c r="I24" s="262"/>
      <c r="J24" s="262"/>
    </row>
    <row r="25" spans="1:10" ht="258.75" customHeight="1" x14ac:dyDescent="0.55000000000000004">
      <c r="A25" s="161"/>
      <c r="B25" s="161"/>
      <c r="C25" s="161"/>
      <c r="D25" s="275">
        <f>1603+3000</f>
        <v>4603</v>
      </c>
      <c r="E25" s="276">
        <v>200</v>
      </c>
      <c r="F25" s="276">
        <f>+E25*D25</f>
        <v>920600</v>
      </c>
      <c r="G25" s="163"/>
      <c r="H25" s="164"/>
      <c r="I25" s="161"/>
      <c r="J25" s="161"/>
    </row>
    <row r="26" spans="1:10" ht="251.25" customHeight="1" x14ac:dyDescent="0.55000000000000004">
      <c r="A26" s="161"/>
      <c r="B26" s="161"/>
      <c r="C26" s="161"/>
      <c r="D26" s="275">
        <v>3301</v>
      </c>
      <c r="E26" s="276">
        <v>100</v>
      </c>
      <c r="F26" s="276">
        <f t="shared" ref="F26:F31" si="3">+E26*D26</f>
        <v>330100</v>
      </c>
      <c r="G26" s="163"/>
      <c r="H26" s="164"/>
      <c r="I26" s="161"/>
      <c r="J26" s="161"/>
    </row>
    <row r="27" spans="1:10" ht="258.75" customHeight="1" x14ac:dyDescent="0.55000000000000004">
      <c r="A27" s="161"/>
      <c r="B27" s="161"/>
      <c r="C27" s="161"/>
      <c r="D27" s="275">
        <v>106</v>
      </c>
      <c r="E27" s="276">
        <v>50</v>
      </c>
      <c r="F27" s="276">
        <f t="shared" si="3"/>
        <v>5300</v>
      </c>
      <c r="G27" s="163"/>
      <c r="H27" s="164"/>
      <c r="I27" s="161"/>
      <c r="J27" s="161"/>
    </row>
    <row r="28" spans="1:10" ht="213.75" customHeight="1" x14ac:dyDescent="0.55000000000000004">
      <c r="A28" s="161"/>
      <c r="B28" s="161"/>
      <c r="C28" s="161"/>
      <c r="D28" s="275">
        <v>118</v>
      </c>
      <c r="E28" s="276">
        <v>20</v>
      </c>
      <c r="F28" s="276">
        <f t="shared" si="3"/>
        <v>2360</v>
      </c>
      <c r="G28" s="163"/>
      <c r="H28" s="164"/>
      <c r="I28" s="161"/>
      <c r="J28" s="161"/>
    </row>
    <row r="29" spans="1:10" ht="258.75" customHeight="1" x14ac:dyDescent="0.55000000000000004">
      <c r="A29" s="161"/>
      <c r="B29" s="161"/>
      <c r="C29" s="161"/>
      <c r="D29" s="275">
        <v>105</v>
      </c>
      <c r="E29" s="276">
        <v>10</v>
      </c>
      <c r="F29" s="276">
        <f t="shared" si="3"/>
        <v>1050</v>
      </c>
      <c r="G29" s="163"/>
      <c r="H29" s="164"/>
      <c r="I29" s="161"/>
      <c r="J29" s="161"/>
    </row>
    <row r="30" spans="1:10" ht="258.75" customHeight="1" x14ac:dyDescent="0.55000000000000004">
      <c r="A30" s="161"/>
      <c r="B30" s="161"/>
      <c r="C30" s="161"/>
      <c r="D30" s="275">
        <v>70</v>
      </c>
      <c r="E30" s="276">
        <v>5</v>
      </c>
      <c r="F30" s="276">
        <f t="shared" si="3"/>
        <v>350</v>
      </c>
      <c r="G30" s="163"/>
      <c r="H30" s="164"/>
      <c r="I30" s="161"/>
      <c r="J30" s="161"/>
    </row>
    <row r="31" spans="1:10" ht="258.75" customHeight="1" thickBot="1" x14ac:dyDescent="0.6">
      <c r="A31" s="161"/>
      <c r="B31" s="161"/>
      <c r="C31" s="161"/>
      <c r="D31" s="275">
        <v>7</v>
      </c>
      <c r="E31" s="276">
        <v>1</v>
      </c>
      <c r="F31" s="276">
        <f t="shared" si="3"/>
        <v>7</v>
      </c>
      <c r="G31" s="163"/>
      <c r="H31" s="164"/>
      <c r="I31" s="161"/>
      <c r="J31" s="161"/>
    </row>
    <row r="32" spans="1:10" s="250" customFormat="1" ht="213.75" customHeight="1" x14ac:dyDescent="1.35">
      <c r="A32" s="262"/>
      <c r="B32" s="262"/>
      <c r="C32" s="262"/>
      <c r="D32" s="572" t="s">
        <v>283</v>
      </c>
      <c r="E32" s="573"/>
      <c r="F32" s="281">
        <f>SUM(F25:F31)</f>
        <v>1259767</v>
      </c>
      <c r="G32" s="264"/>
      <c r="H32" s="272"/>
      <c r="I32" s="262"/>
      <c r="J32" s="262"/>
    </row>
    <row r="33" spans="1:10" s="250" customFormat="1" ht="225.75" customHeight="1" x14ac:dyDescent="1.35">
      <c r="A33" s="262"/>
      <c r="B33" s="262"/>
      <c r="C33" s="262"/>
      <c r="D33" s="574" t="s">
        <v>282</v>
      </c>
      <c r="E33" s="575"/>
      <c r="F33" s="284">
        <f>C22</f>
        <v>1259777</v>
      </c>
      <c r="G33" s="264"/>
      <c r="H33" s="272"/>
      <c r="I33" s="262"/>
      <c r="J33" s="262"/>
    </row>
    <row r="34" spans="1:10" s="250" customFormat="1" ht="258.75" customHeight="1" thickBot="1" x14ac:dyDescent="1.4">
      <c r="A34" s="262"/>
      <c r="B34" s="262"/>
      <c r="C34" s="262"/>
      <c r="D34" s="576" t="s">
        <v>284</v>
      </c>
      <c r="E34" s="577"/>
      <c r="F34" s="287">
        <f>+F32-F33</f>
        <v>-10</v>
      </c>
      <c r="G34" s="264"/>
      <c r="H34" s="272"/>
      <c r="I34" s="262"/>
      <c r="J34" s="262"/>
    </row>
  </sheetData>
  <mergeCells count="5">
    <mergeCell ref="D22:F22"/>
    <mergeCell ref="D23:F23"/>
    <mergeCell ref="D32:E32"/>
    <mergeCell ref="D33:E33"/>
    <mergeCell ref="D34:E34"/>
  </mergeCells>
  <conditionalFormatting sqref="A1">
    <cfRule type="cellIs" dxfId="47" priority="4" operator="equal">
      <formula>#REF!</formula>
    </cfRule>
  </conditionalFormatting>
  <conditionalFormatting sqref="A2:A3 A6:A25 A32:A34">
    <cfRule type="cellIs" dxfId="46" priority="6" operator="equal">
      <formula>#REF!</formula>
    </cfRule>
  </conditionalFormatting>
  <conditionalFormatting sqref="A4:A5">
    <cfRule type="cellIs" dxfId="45" priority="1" operator="equal">
      <formula>#REF!</formula>
    </cfRule>
  </conditionalFormatting>
  <conditionalFormatting sqref="A26:A31">
    <cfRule type="cellIs" dxfId="44" priority="2" operator="equal">
      <formula>#REF!</formula>
    </cfRule>
  </conditionalFormatting>
  <conditionalFormatting sqref="B1">
    <cfRule type="cellIs" dxfId="43" priority="3" operator="equal">
      <formula>#REF!</formula>
    </cfRule>
  </conditionalFormatting>
  <conditionalFormatting sqref="C2:D2">
    <cfRule type="duplicateValues" dxfId="42" priority="5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1" manualBreakCount="1">
    <brk id="22" max="8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J35"/>
  <sheetViews>
    <sheetView rightToLeft="1" view="pageBreakPreview" zoomScale="10" zoomScaleNormal="10" zoomScaleSheetLayoutView="10" workbookViewId="0">
      <pane ySplit="2" topLeftCell="A3" activePane="bottomLeft" state="frozen"/>
      <selection activeCell="A2" sqref="A2"/>
      <selection pane="bottomLeft" activeCell="A4" sqref="A4:I19"/>
    </sheetView>
  </sheetViews>
  <sheetFormatPr defaultColWidth="42.85546875" defaultRowHeight="258.75" customHeight="1" x14ac:dyDescent="0.55000000000000004"/>
  <cols>
    <col min="1" max="1" width="69.7109375" style="334" customWidth="1"/>
    <col min="2" max="2" width="120.140625" style="334" bestFit="1" customWidth="1"/>
    <col min="3" max="3" width="133.8554687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61.42578125" style="334" customWidth="1"/>
    <col min="9" max="9" width="254.42578125" style="334" customWidth="1"/>
    <col min="10" max="10" width="113" style="334" customWidth="1"/>
    <col min="11" max="16384" width="42.85546875" style="334"/>
  </cols>
  <sheetData>
    <row r="1" spans="1:10" ht="258.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198.75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198.75" customHeight="1" x14ac:dyDescent="0.9">
      <c r="A3" s="262"/>
      <c r="B3" s="263"/>
      <c r="C3" s="262"/>
      <c r="D3" s="262"/>
      <c r="E3" s="264"/>
      <c r="F3" s="264"/>
      <c r="G3" s="265">
        <v>1259777</v>
      </c>
      <c r="H3" s="265" t="s">
        <v>129</v>
      </c>
      <c r="I3" s="262"/>
      <c r="J3" s="262"/>
    </row>
    <row r="4" spans="1:10" s="250" customFormat="1" ht="309" customHeight="1" x14ac:dyDescent="1.35">
      <c r="A4" s="426" t="s">
        <v>113</v>
      </c>
      <c r="B4" s="427">
        <v>45245</v>
      </c>
      <c r="C4" s="426"/>
      <c r="D4" s="454">
        <v>1267</v>
      </c>
      <c r="E4" s="455">
        <v>50000</v>
      </c>
      <c r="F4" s="428"/>
      <c r="G4" s="429">
        <f>G3+E4-F4</f>
        <v>1309777</v>
      </c>
      <c r="H4" s="429" t="s">
        <v>740</v>
      </c>
      <c r="I4" s="450" t="s">
        <v>741</v>
      </c>
      <c r="J4" s="426"/>
    </row>
    <row r="5" spans="1:10" s="250" customFormat="1" ht="309" customHeight="1" x14ac:dyDescent="1.35">
      <c r="A5" s="426" t="s">
        <v>113</v>
      </c>
      <c r="B5" s="427">
        <v>45245</v>
      </c>
      <c r="C5" s="426"/>
      <c r="D5" s="454">
        <v>1268</v>
      </c>
      <c r="E5" s="455">
        <v>100000</v>
      </c>
      <c r="F5" s="428"/>
      <c r="G5" s="429">
        <f>G4+E5-F5</f>
        <v>1409777</v>
      </c>
      <c r="H5" s="429" t="s">
        <v>752</v>
      </c>
      <c r="I5" s="450" t="s">
        <v>753</v>
      </c>
      <c r="J5" s="426"/>
    </row>
    <row r="6" spans="1:10" s="250" customFormat="1" ht="256.5" customHeight="1" x14ac:dyDescent="1.35">
      <c r="A6" s="426" t="s">
        <v>113</v>
      </c>
      <c r="B6" s="427">
        <v>45245</v>
      </c>
      <c r="C6" s="426"/>
      <c r="D6" s="454"/>
      <c r="E6" s="455">
        <v>2095</v>
      </c>
      <c r="F6" s="428"/>
      <c r="G6" s="429">
        <f t="shared" ref="G6:G19" si="0">G5+E6-F6</f>
        <v>1411872</v>
      </c>
      <c r="H6" s="429" t="s">
        <v>83</v>
      </c>
      <c r="I6" s="426"/>
      <c r="J6" s="426"/>
    </row>
    <row r="7" spans="1:10" s="250" customFormat="1" ht="309" customHeight="1" x14ac:dyDescent="1.35">
      <c r="A7" s="426" t="s">
        <v>113</v>
      </c>
      <c r="B7" s="427">
        <v>45245</v>
      </c>
      <c r="C7" s="426"/>
      <c r="D7" s="454" t="s">
        <v>748</v>
      </c>
      <c r="E7" s="455">
        <v>800000</v>
      </c>
      <c r="F7" s="428"/>
      <c r="G7" s="429">
        <f t="shared" si="0"/>
        <v>2211872</v>
      </c>
      <c r="H7" s="431" t="s">
        <v>462</v>
      </c>
      <c r="I7" s="435" t="s">
        <v>749</v>
      </c>
      <c r="J7" s="426"/>
    </row>
    <row r="8" spans="1:10" s="250" customFormat="1" ht="309" customHeight="1" x14ac:dyDescent="1.35">
      <c r="A8" s="426" t="s">
        <v>113</v>
      </c>
      <c r="B8" s="427">
        <v>45245</v>
      </c>
      <c r="C8" s="426"/>
      <c r="D8" s="454"/>
      <c r="E8" s="455">
        <v>500000</v>
      </c>
      <c r="F8" s="428"/>
      <c r="G8" s="429">
        <f t="shared" si="0"/>
        <v>2711872</v>
      </c>
      <c r="H8" s="429" t="s">
        <v>750</v>
      </c>
      <c r="I8" s="426"/>
      <c r="J8" s="426"/>
    </row>
    <row r="9" spans="1:10" s="250" customFormat="1" ht="309" customHeight="1" x14ac:dyDescent="1.35">
      <c r="A9" s="426" t="s">
        <v>113</v>
      </c>
      <c r="B9" s="427">
        <v>45245</v>
      </c>
      <c r="C9" s="426"/>
      <c r="D9" s="454"/>
      <c r="E9" s="455"/>
      <c r="F9" s="428">
        <v>500000</v>
      </c>
      <c r="G9" s="429">
        <f t="shared" si="0"/>
        <v>2211872</v>
      </c>
      <c r="H9" s="429" t="s">
        <v>751</v>
      </c>
      <c r="I9" s="426"/>
      <c r="J9" s="426"/>
    </row>
    <row r="10" spans="1:10" s="250" customFormat="1" ht="309" customHeight="1" x14ac:dyDescent="1.35">
      <c r="A10" s="426" t="s">
        <v>113</v>
      </c>
      <c r="B10" s="427">
        <v>45245</v>
      </c>
      <c r="C10" s="426"/>
      <c r="D10" s="454"/>
      <c r="E10" s="455"/>
      <c r="F10" s="428"/>
      <c r="G10" s="429">
        <f t="shared" si="0"/>
        <v>2211872</v>
      </c>
      <c r="H10" s="429"/>
      <c r="I10" s="426"/>
      <c r="J10" s="426"/>
    </row>
    <row r="11" spans="1:10" s="250" customFormat="1" ht="309" customHeight="1" x14ac:dyDescent="1.35">
      <c r="A11" s="426" t="s">
        <v>113</v>
      </c>
      <c r="B11" s="427">
        <v>45245</v>
      </c>
      <c r="C11" s="426">
        <v>1821</v>
      </c>
      <c r="D11" s="454"/>
      <c r="E11" s="455"/>
      <c r="F11" s="428">
        <v>20000</v>
      </c>
      <c r="G11" s="429">
        <f t="shared" si="0"/>
        <v>2191872</v>
      </c>
      <c r="H11" s="429" t="s">
        <v>742</v>
      </c>
      <c r="I11" s="426" t="s">
        <v>743</v>
      </c>
      <c r="J11" s="426"/>
    </row>
    <row r="12" spans="1:10" s="250" customFormat="1" ht="316.5" customHeight="1" x14ac:dyDescent="1.35">
      <c r="A12" s="426" t="s">
        <v>113</v>
      </c>
      <c r="B12" s="427">
        <v>45245</v>
      </c>
      <c r="C12" s="426">
        <v>1822</v>
      </c>
      <c r="D12" s="454"/>
      <c r="E12" s="455"/>
      <c r="F12" s="428">
        <v>1800</v>
      </c>
      <c r="G12" s="429">
        <f t="shared" si="0"/>
        <v>2190072</v>
      </c>
      <c r="H12" s="429" t="s">
        <v>356</v>
      </c>
      <c r="I12" s="426" t="s">
        <v>747</v>
      </c>
      <c r="J12" s="426"/>
    </row>
    <row r="13" spans="1:10" s="250" customFormat="1" ht="271.5" customHeight="1" x14ac:dyDescent="1.35">
      <c r="A13" s="426" t="s">
        <v>113</v>
      </c>
      <c r="B13" s="427">
        <v>45245</v>
      </c>
      <c r="C13" s="426">
        <v>1823</v>
      </c>
      <c r="D13" s="454"/>
      <c r="E13" s="455"/>
      <c r="F13" s="428">
        <v>700000</v>
      </c>
      <c r="G13" s="429">
        <f t="shared" si="0"/>
        <v>1490072</v>
      </c>
      <c r="H13" s="429" t="s">
        <v>208</v>
      </c>
      <c r="I13" s="450" t="s">
        <v>745</v>
      </c>
      <c r="J13" s="426"/>
    </row>
    <row r="14" spans="1:10" s="453" customFormat="1" ht="309" customHeight="1" x14ac:dyDescent="1.35">
      <c r="A14" s="431" t="s">
        <v>113</v>
      </c>
      <c r="B14" s="427">
        <v>45245</v>
      </c>
      <c r="C14" s="431" t="s">
        <v>394</v>
      </c>
      <c r="D14" s="451"/>
      <c r="E14" s="452">
        <v>500000</v>
      </c>
      <c r="F14" s="433"/>
      <c r="G14" s="429">
        <f t="shared" si="0"/>
        <v>1990072</v>
      </c>
      <c r="H14" s="429" t="s">
        <v>208</v>
      </c>
      <c r="I14" s="431" t="s">
        <v>746</v>
      </c>
      <c r="J14" s="431"/>
    </row>
    <row r="15" spans="1:10" s="250" customFormat="1" ht="256.5" customHeight="1" x14ac:dyDescent="1.35">
      <c r="A15" s="426" t="s">
        <v>113</v>
      </c>
      <c r="B15" s="427">
        <v>45245</v>
      </c>
      <c r="C15" s="426">
        <v>1824</v>
      </c>
      <c r="D15" s="454"/>
      <c r="E15" s="455"/>
      <c r="F15" s="428">
        <v>5000</v>
      </c>
      <c r="G15" s="429">
        <f t="shared" si="0"/>
        <v>1985072</v>
      </c>
      <c r="H15" s="429" t="s">
        <v>414</v>
      </c>
      <c r="I15" s="426" t="s">
        <v>77</v>
      </c>
      <c r="J15" s="426"/>
    </row>
    <row r="16" spans="1:10" s="250" customFormat="1" ht="256.5" customHeight="1" x14ac:dyDescent="1.35">
      <c r="A16" s="426" t="s">
        <v>113</v>
      </c>
      <c r="B16" s="427">
        <v>45245</v>
      </c>
      <c r="C16" s="426">
        <v>1825</v>
      </c>
      <c r="D16" s="454"/>
      <c r="E16" s="455"/>
      <c r="F16" s="428">
        <v>10000</v>
      </c>
      <c r="G16" s="429">
        <f t="shared" si="0"/>
        <v>1975072</v>
      </c>
      <c r="H16" s="429" t="s">
        <v>336</v>
      </c>
      <c r="I16" s="426" t="s">
        <v>224</v>
      </c>
      <c r="J16" s="426"/>
    </row>
    <row r="17" spans="1:10" s="250" customFormat="1" ht="256.5" customHeight="1" x14ac:dyDescent="1.35">
      <c r="A17" s="426" t="s">
        <v>113</v>
      </c>
      <c r="B17" s="427">
        <v>45245</v>
      </c>
      <c r="C17" s="426"/>
      <c r="D17" s="454"/>
      <c r="E17" s="455"/>
      <c r="F17" s="428"/>
      <c r="G17" s="429">
        <f t="shared" si="0"/>
        <v>1975072</v>
      </c>
      <c r="H17" s="429"/>
      <c r="I17" s="426"/>
      <c r="J17" s="426"/>
    </row>
    <row r="18" spans="1:10" s="250" customFormat="1" ht="256.5" customHeight="1" x14ac:dyDescent="1.35">
      <c r="A18" s="441" t="s">
        <v>113</v>
      </c>
      <c r="B18" s="442">
        <v>45245</v>
      </c>
      <c r="C18" s="441"/>
      <c r="D18" s="456"/>
      <c r="E18" s="457"/>
      <c r="F18" s="443">
        <v>100000</v>
      </c>
      <c r="G18" s="429">
        <f t="shared" si="0"/>
        <v>1875072</v>
      </c>
      <c r="H18" s="444" t="s">
        <v>704</v>
      </c>
      <c r="I18" s="441"/>
      <c r="J18" s="426"/>
    </row>
    <row r="19" spans="1:10" s="458" customFormat="1" ht="286.5" customHeight="1" x14ac:dyDescent="1.35">
      <c r="A19" s="441" t="s">
        <v>113</v>
      </c>
      <c r="B19" s="442">
        <v>45245</v>
      </c>
      <c r="C19" s="441"/>
      <c r="D19" s="456"/>
      <c r="E19" s="457"/>
      <c r="F19" s="443"/>
      <c r="G19" s="429">
        <f t="shared" si="0"/>
        <v>1875072</v>
      </c>
      <c r="H19" s="444" t="s">
        <v>744</v>
      </c>
      <c r="I19" s="459"/>
      <c r="J19" s="441"/>
    </row>
    <row r="20" spans="1:10" ht="116.25" customHeight="1" thickBot="1" x14ac:dyDescent="0.6">
      <c r="A20" s="386"/>
      <c r="B20" s="398"/>
      <c r="C20" s="386"/>
      <c r="D20" s="386"/>
      <c r="E20" s="390"/>
      <c r="F20" s="388"/>
      <c r="G20" s="389"/>
      <c r="H20" s="391"/>
      <c r="I20" s="386"/>
      <c r="J20" s="386"/>
    </row>
    <row r="21" spans="1:10" s="250" customFormat="1" ht="236.25" customHeight="1" thickTop="1" x14ac:dyDescent="1.35">
      <c r="A21" s="270"/>
      <c r="B21" s="136" t="s">
        <v>127</v>
      </c>
      <c r="C21" s="137" t="s">
        <v>115</v>
      </c>
      <c r="D21" s="137" t="s">
        <v>179</v>
      </c>
      <c r="E21" s="137" t="s">
        <v>116</v>
      </c>
      <c r="F21" s="138" t="s">
        <v>180</v>
      </c>
      <c r="G21" s="139" t="s">
        <v>211</v>
      </c>
      <c r="H21" s="271"/>
      <c r="I21" s="447"/>
      <c r="J21" s="150"/>
    </row>
    <row r="22" spans="1:10" ht="213.75" customHeight="1" thickBot="1" x14ac:dyDescent="0.6">
      <c r="A22" s="161"/>
      <c r="B22" s="140">
        <f>$G$3</f>
        <v>1259777</v>
      </c>
      <c r="C22" s="141">
        <f>SUMIF(A4:A19,B1,E4:E$19)</f>
        <v>1952095</v>
      </c>
      <c r="D22" s="141">
        <f>SUMIF(A4:A19,B1,F4:$F$19)</f>
        <v>1336800</v>
      </c>
      <c r="E22" s="141">
        <f>SUMIF(A3:A19,A1,E3:$E$19)</f>
        <v>0</v>
      </c>
      <c r="F22" s="141">
        <f>SUMIF(A3:A19,A1,F3:$F$19)</f>
        <v>0</v>
      </c>
      <c r="G22" s="142">
        <f>+B22+C22+E22-D22-F22</f>
        <v>1875072</v>
      </c>
      <c r="H22" s="164"/>
      <c r="I22" s="180"/>
      <c r="J22" s="180"/>
    </row>
    <row r="23" spans="1:10" ht="288.75" customHeight="1" thickTop="1" x14ac:dyDescent="0.55000000000000004">
      <c r="A23" s="161"/>
      <c r="B23" s="262"/>
      <c r="C23" s="259">
        <f>+B22+C22-D22</f>
        <v>1875072</v>
      </c>
      <c r="D23" s="566" t="s">
        <v>181</v>
      </c>
      <c r="E23" s="566"/>
      <c r="F23" s="566"/>
      <c r="G23" s="264"/>
      <c r="H23" s="164"/>
      <c r="I23" s="161"/>
      <c r="J23" s="161"/>
    </row>
    <row r="24" spans="1:10" s="250" customFormat="1" ht="146.25" customHeight="1" x14ac:dyDescent="1.35">
      <c r="A24" s="262"/>
      <c r="B24" s="262"/>
      <c r="C24" s="273"/>
      <c r="D24" s="567" t="s">
        <v>278</v>
      </c>
      <c r="E24" s="567"/>
      <c r="F24" s="567"/>
      <c r="G24" s="264"/>
      <c r="H24" s="272"/>
      <c r="I24" s="262"/>
      <c r="J24" s="262"/>
    </row>
    <row r="25" spans="1:10" s="250" customFormat="1" ht="258.75" customHeight="1" x14ac:dyDescent="1.35">
      <c r="A25" s="262"/>
      <c r="B25" s="262"/>
      <c r="C25" s="273"/>
      <c r="D25" s="274" t="s">
        <v>279</v>
      </c>
      <c r="E25" s="274" t="s">
        <v>280</v>
      </c>
      <c r="F25" s="274" t="s">
        <v>281</v>
      </c>
      <c r="G25" s="264"/>
      <c r="H25" s="272"/>
      <c r="I25" s="262"/>
      <c r="J25" s="262"/>
    </row>
    <row r="26" spans="1:10" ht="258.75" customHeight="1" x14ac:dyDescent="0.55000000000000004">
      <c r="A26" s="161"/>
      <c r="B26" s="161"/>
      <c r="C26" s="161"/>
      <c r="D26" s="275">
        <v>4820</v>
      </c>
      <c r="E26" s="276">
        <v>200</v>
      </c>
      <c r="F26" s="276">
        <f>+E26*D26</f>
        <v>964000</v>
      </c>
      <c r="G26" s="163"/>
      <c r="H26" s="164"/>
      <c r="I26" s="161"/>
      <c r="J26" s="161"/>
    </row>
    <row r="27" spans="1:10" ht="251.25" customHeight="1" x14ac:dyDescent="0.55000000000000004">
      <c r="A27" s="161"/>
      <c r="B27" s="161"/>
      <c r="C27" s="161"/>
      <c r="D27" s="275">
        <v>3516</v>
      </c>
      <c r="E27" s="276">
        <v>100</v>
      </c>
      <c r="F27" s="276">
        <f t="shared" ref="F27:F32" si="1">+E27*D27</f>
        <v>351600</v>
      </c>
      <c r="G27" s="163"/>
      <c r="H27" s="164"/>
      <c r="I27" s="161"/>
      <c r="J27" s="161"/>
    </row>
    <row r="28" spans="1:10" ht="258.75" customHeight="1" x14ac:dyDescent="0.55000000000000004">
      <c r="A28" s="161"/>
      <c r="B28" s="161"/>
      <c r="C28" s="161"/>
      <c r="D28" s="275">
        <v>1111</v>
      </c>
      <c r="E28" s="276">
        <v>50</v>
      </c>
      <c r="F28" s="276">
        <f t="shared" si="1"/>
        <v>55550</v>
      </c>
      <c r="G28" s="163"/>
      <c r="H28" s="164"/>
      <c r="I28" s="161"/>
      <c r="J28" s="161"/>
    </row>
    <row r="29" spans="1:10" ht="213.75" customHeight="1" x14ac:dyDescent="0.55000000000000004">
      <c r="A29" s="161"/>
      <c r="B29" s="161"/>
      <c r="C29" s="161"/>
      <c r="D29" s="275">
        <v>117</v>
      </c>
      <c r="E29" s="276">
        <v>20</v>
      </c>
      <c r="F29" s="276">
        <f t="shared" si="1"/>
        <v>2340</v>
      </c>
      <c r="G29" s="163"/>
      <c r="H29" s="164"/>
      <c r="I29" s="161"/>
      <c r="J29" s="161"/>
    </row>
    <row r="30" spans="1:10" ht="258.75" customHeight="1" x14ac:dyDescent="0.55000000000000004">
      <c r="A30" s="161"/>
      <c r="B30" s="161"/>
      <c r="C30" s="161"/>
      <c r="D30" s="275">
        <v>119</v>
      </c>
      <c r="E30" s="276">
        <v>10</v>
      </c>
      <c r="F30" s="276">
        <f t="shared" si="1"/>
        <v>1190</v>
      </c>
      <c r="G30" s="163"/>
      <c r="H30" s="164"/>
      <c r="I30" s="161"/>
      <c r="J30" s="161"/>
    </row>
    <row r="31" spans="1:10" ht="258.75" customHeight="1" x14ac:dyDescent="0.55000000000000004">
      <c r="A31" s="161"/>
      <c r="B31" s="161"/>
      <c r="C31" s="161"/>
      <c r="D31" s="275">
        <v>75</v>
      </c>
      <c r="E31" s="276">
        <v>5</v>
      </c>
      <c r="F31" s="276">
        <f t="shared" si="1"/>
        <v>375</v>
      </c>
      <c r="G31" s="163"/>
      <c r="H31" s="164"/>
      <c r="I31" s="161"/>
      <c r="J31" s="161"/>
    </row>
    <row r="32" spans="1:10" ht="258.75" customHeight="1" thickBot="1" x14ac:dyDescent="0.6">
      <c r="A32" s="161"/>
      <c r="B32" s="161"/>
      <c r="C32" s="161"/>
      <c r="D32" s="275">
        <v>7</v>
      </c>
      <c r="E32" s="276">
        <v>1</v>
      </c>
      <c r="F32" s="276">
        <f t="shared" si="1"/>
        <v>7</v>
      </c>
      <c r="G32" s="163"/>
      <c r="H32" s="164"/>
      <c r="I32" s="161"/>
      <c r="J32" s="161"/>
    </row>
    <row r="33" spans="1:10" s="250" customFormat="1" ht="213.75" customHeight="1" x14ac:dyDescent="1.35">
      <c r="A33" s="262"/>
      <c r="B33" s="262"/>
      <c r="C33" s="262"/>
      <c r="D33" s="572" t="s">
        <v>283</v>
      </c>
      <c r="E33" s="573"/>
      <c r="F33" s="281">
        <f>SUM(F26:F32)</f>
        <v>1375062</v>
      </c>
      <c r="G33" s="264"/>
      <c r="H33" s="272"/>
      <c r="I33" s="262"/>
      <c r="J33" s="262"/>
    </row>
    <row r="34" spans="1:10" s="250" customFormat="1" ht="225.75" customHeight="1" x14ac:dyDescent="1.35">
      <c r="A34" s="262"/>
      <c r="B34" s="262"/>
      <c r="C34" s="262"/>
      <c r="D34" s="574" t="s">
        <v>282</v>
      </c>
      <c r="E34" s="575"/>
      <c r="F34" s="284">
        <f>C23</f>
        <v>1875072</v>
      </c>
      <c r="G34" s="264"/>
      <c r="H34" s="272"/>
      <c r="I34" s="262"/>
      <c r="J34" s="262"/>
    </row>
    <row r="35" spans="1:10" s="250" customFormat="1" ht="258.75" customHeight="1" thickBot="1" x14ac:dyDescent="1.4">
      <c r="A35" s="262"/>
      <c r="B35" s="262"/>
      <c r="C35" s="262"/>
      <c r="D35" s="576" t="s">
        <v>284</v>
      </c>
      <c r="E35" s="577"/>
      <c r="F35" s="287">
        <f>+F33-F34</f>
        <v>-500010</v>
      </c>
      <c r="G35" s="264"/>
      <c r="H35" s="272"/>
      <c r="I35" s="262"/>
      <c r="J35" s="262"/>
    </row>
  </sheetData>
  <mergeCells count="5">
    <mergeCell ref="D23:F23"/>
    <mergeCell ref="D24:F24"/>
    <mergeCell ref="D33:E33"/>
    <mergeCell ref="D34:E34"/>
    <mergeCell ref="D35:E35"/>
  </mergeCells>
  <conditionalFormatting sqref="A1">
    <cfRule type="cellIs" dxfId="41" priority="4" operator="equal">
      <formula>#REF!</formula>
    </cfRule>
  </conditionalFormatting>
  <conditionalFormatting sqref="A2:A3 A7:A26 A33:A35">
    <cfRule type="cellIs" dxfId="40" priority="6" operator="equal">
      <formula>#REF!</formula>
    </cfRule>
  </conditionalFormatting>
  <conditionalFormatting sqref="A4:A6">
    <cfRule type="cellIs" dxfId="39" priority="1" operator="equal">
      <formula>#REF!</formula>
    </cfRule>
  </conditionalFormatting>
  <conditionalFormatting sqref="A27:A32">
    <cfRule type="cellIs" dxfId="38" priority="2" operator="equal">
      <formula>#REF!</formula>
    </cfRule>
  </conditionalFormatting>
  <conditionalFormatting sqref="B1">
    <cfRule type="cellIs" dxfId="37" priority="3" operator="equal">
      <formula>#REF!</formula>
    </cfRule>
  </conditionalFormatting>
  <conditionalFormatting sqref="C2:D2">
    <cfRule type="duplicateValues" dxfId="36" priority="5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1" manualBreakCount="1">
    <brk id="23" max="8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J45"/>
  <sheetViews>
    <sheetView rightToLeft="1" view="pageBreakPreview" zoomScale="10" zoomScaleNormal="10" zoomScaleSheetLayoutView="10" workbookViewId="0">
      <pane ySplit="2" topLeftCell="A15" activePane="bottomLeft" state="frozen"/>
      <selection activeCell="A2" sqref="A2"/>
      <selection pane="bottomLeft" activeCell="A4" sqref="A4:I29"/>
    </sheetView>
  </sheetViews>
  <sheetFormatPr defaultColWidth="42.85546875" defaultRowHeight="258.75" customHeight="1" x14ac:dyDescent="0.55000000000000004"/>
  <cols>
    <col min="1" max="1" width="69.7109375" style="334" customWidth="1"/>
    <col min="2" max="2" width="120.140625" style="334" bestFit="1" customWidth="1"/>
    <col min="3" max="3" width="133.8554687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61.42578125" style="334" customWidth="1"/>
    <col min="9" max="9" width="254.42578125" style="334" customWidth="1"/>
    <col min="10" max="10" width="113" style="334" customWidth="1"/>
    <col min="11" max="16384" width="42.85546875" style="334"/>
  </cols>
  <sheetData>
    <row r="1" spans="1:10" ht="258.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371.25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198.75" customHeight="1" x14ac:dyDescent="0.9">
      <c r="A3" s="262"/>
      <c r="B3" s="263"/>
      <c r="C3" s="262"/>
      <c r="D3" s="262"/>
      <c r="E3" s="264"/>
      <c r="F3" s="264"/>
      <c r="G3" s="265">
        <v>1875072</v>
      </c>
      <c r="H3" s="265" t="s">
        <v>129</v>
      </c>
      <c r="I3" s="262"/>
      <c r="J3" s="262"/>
    </row>
    <row r="4" spans="1:10" s="250" customFormat="1" ht="309" customHeight="1" x14ac:dyDescent="1.35">
      <c r="A4" s="426" t="s">
        <v>113</v>
      </c>
      <c r="B4" s="427">
        <v>45246</v>
      </c>
      <c r="C4" s="426"/>
      <c r="D4" s="454">
        <v>1269</v>
      </c>
      <c r="E4" s="455">
        <v>102600</v>
      </c>
      <c r="F4" s="428"/>
      <c r="G4" s="429">
        <f>G3+E4-F4</f>
        <v>1977672</v>
      </c>
      <c r="H4" s="429" t="s">
        <v>754</v>
      </c>
      <c r="I4" s="450" t="s">
        <v>755</v>
      </c>
      <c r="J4" s="426"/>
    </row>
    <row r="5" spans="1:10" s="250" customFormat="1" ht="309" customHeight="1" x14ac:dyDescent="1.35">
      <c r="A5" s="431" t="s">
        <v>113</v>
      </c>
      <c r="B5" s="432">
        <v>45246</v>
      </c>
      <c r="C5" s="431"/>
      <c r="D5" s="451">
        <v>1270</v>
      </c>
      <c r="E5" s="452">
        <v>0</v>
      </c>
      <c r="F5" s="433"/>
      <c r="G5" s="434">
        <f>G4+E5-F5</f>
        <v>1977672</v>
      </c>
      <c r="H5" s="434" t="s">
        <v>190</v>
      </c>
      <c r="I5" s="461"/>
      <c r="J5" s="426"/>
    </row>
    <row r="6" spans="1:10" s="250" customFormat="1" ht="309" customHeight="1" x14ac:dyDescent="1.35">
      <c r="A6" s="426" t="s">
        <v>113</v>
      </c>
      <c r="B6" s="427">
        <v>45246</v>
      </c>
      <c r="C6" s="426"/>
      <c r="D6" s="454">
        <v>1271</v>
      </c>
      <c r="E6" s="455">
        <v>130000</v>
      </c>
      <c r="F6" s="428"/>
      <c r="G6" s="429">
        <f t="shared" ref="G6:G28" si="0">G5+E6-F6</f>
        <v>2107672</v>
      </c>
      <c r="H6" s="429" t="s">
        <v>765</v>
      </c>
      <c r="I6" s="450"/>
      <c r="J6" s="426"/>
    </row>
    <row r="7" spans="1:10" s="250" customFormat="1" ht="309" customHeight="1" x14ac:dyDescent="1.35">
      <c r="A7" s="431" t="s">
        <v>113</v>
      </c>
      <c r="B7" s="432">
        <v>45246</v>
      </c>
      <c r="C7" s="431"/>
      <c r="D7" s="451">
        <v>1272</v>
      </c>
      <c r="E7" s="452">
        <v>500000</v>
      </c>
      <c r="F7" s="433"/>
      <c r="G7" s="434">
        <f t="shared" si="0"/>
        <v>2607672</v>
      </c>
      <c r="H7" s="434" t="s">
        <v>766</v>
      </c>
      <c r="I7" s="461"/>
      <c r="J7" s="426"/>
    </row>
    <row r="8" spans="1:10" s="250" customFormat="1" ht="309" customHeight="1" x14ac:dyDescent="1.35">
      <c r="A8" s="426" t="s">
        <v>113</v>
      </c>
      <c r="B8" s="427">
        <v>45246</v>
      </c>
      <c r="C8" s="426"/>
      <c r="D8" s="454">
        <v>1273</v>
      </c>
      <c r="E8" s="455">
        <v>100000</v>
      </c>
      <c r="F8" s="428"/>
      <c r="G8" s="429">
        <f t="shared" si="0"/>
        <v>2707672</v>
      </c>
      <c r="H8" s="429" t="s">
        <v>767</v>
      </c>
      <c r="I8" s="450"/>
      <c r="J8" s="426"/>
    </row>
    <row r="9" spans="1:10" s="250" customFormat="1" ht="309" customHeight="1" x14ac:dyDescent="1.35">
      <c r="A9" s="431" t="s">
        <v>113</v>
      </c>
      <c r="B9" s="432">
        <v>45246</v>
      </c>
      <c r="C9" s="431"/>
      <c r="D9" s="451" t="s">
        <v>297</v>
      </c>
      <c r="E9" s="452">
        <v>600000</v>
      </c>
      <c r="F9" s="433"/>
      <c r="G9" s="434">
        <f t="shared" si="0"/>
        <v>3307672</v>
      </c>
      <c r="H9" s="434" t="s">
        <v>768</v>
      </c>
      <c r="I9" s="461"/>
      <c r="J9" s="426"/>
    </row>
    <row r="10" spans="1:10" s="250" customFormat="1" ht="309" customHeight="1" x14ac:dyDescent="1.35">
      <c r="A10" s="426" t="s">
        <v>113</v>
      </c>
      <c r="B10" s="427">
        <v>45246</v>
      </c>
      <c r="C10" s="426"/>
      <c r="D10" s="454" t="s">
        <v>297</v>
      </c>
      <c r="E10" s="455">
        <v>650000</v>
      </c>
      <c r="F10" s="428"/>
      <c r="G10" s="429">
        <f t="shared" si="0"/>
        <v>3957672</v>
      </c>
      <c r="H10" s="429" t="s">
        <v>769</v>
      </c>
      <c r="I10" s="450"/>
      <c r="J10" s="426"/>
    </row>
    <row r="11" spans="1:10" s="250" customFormat="1" ht="309" customHeight="1" x14ac:dyDescent="1.35">
      <c r="A11" s="431" t="s">
        <v>113</v>
      </c>
      <c r="B11" s="432">
        <v>45246</v>
      </c>
      <c r="C11" s="431"/>
      <c r="D11" s="451"/>
      <c r="E11" s="452"/>
      <c r="F11" s="433"/>
      <c r="G11" s="434">
        <f t="shared" si="0"/>
        <v>3957672</v>
      </c>
      <c r="H11" s="434"/>
      <c r="I11" s="461"/>
      <c r="J11" s="426"/>
    </row>
    <row r="12" spans="1:10" s="250" customFormat="1" ht="309" customHeight="1" x14ac:dyDescent="1.35">
      <c r="A12" s="426" t="s">
        <v>113</v>
      </c>
      <c r="B12" s="427">
        <v>45246</v>
      </c>
      <c r="C12" s="426">
        <v>1826</v>
      </c>
      <c r="D12" s="454"/>
      <c r="E12" s="455"/>
      <c r="F12" s="428">
        <v>1000</v>
      </c>
      <c r="G12" s="429">
        <f t="shared" si="0"/>
        <v>3956672</v>
      </c>
      <c r="H12" s="429" t="s">
        <v>756</v>
      </c>
      <c r="I12" s="450" t="s">
        <v>224</v>
      </c>
      <c r="J12" s="426"/>
    </row>
    <row r="13" spans="1:10" s="250" customFormat="1" ht="309" customHeight="1" x14ac:dyDescent="1.35">
      <c r="A13" s="431" t="s">
        <v>113</v>
      </c>
      <c r="B13" s="432">
        <v>45246</v>
      </c>
      <c r="C13" s="431">
        <v>1827</v>
      </c>
      <c r="D13" s="451"/>
      <c r="E13" s="452"/>
      <c r="F13" s="433">
        <v>15000</v>
      </c>
      <c r="G13" s="434">
        <f t="shared" si="0"/>
        <v>3941672</v>
      </c>
      <c r="H13" s="434" t="s">
        <v>757</v>
      </c>
      <c r="I13" s="461" t="s">
        <v>758</v>
      </c>
      <c r="J13" s="426"/>
    </row>
    <row r="14" spans="1:10" s="250" customFormat="1" ht="309" customHeight="1" x14ac:dyDescent="1.35">
      <c r="A14" s="426" t="s">
        <v>113</v>
      </c>
      <c r="B14" s="427">
        <v>45246</v>
      </c>
      <c r="C14" s="426">
        <v>1828</v>
      </c>
      <c r="D14" s="454"/>
      <c r="E14" s="455"/>
      <c r="F14" s="428">
        <v>890</v>
      </c>
      <c r="G14" s="429">
        <f t="shared" si="0"/>
        <v>3940782</v>
      </c>
      <c r="H14" s="429" t="s">
        <v>72</v>
      </c>
      <c r="I14" s="450" t="s">
        <v>759</v>
      </c>
      <c r="J14" s="426"/>
    </row>
    <row r="15" spans="1:10" s="250" customFormat="1" ht="309" customHeight="1" x14ac:dyDescent="1.35">
      <c r="A15" s="431" t="s">
        <v>113</v>
      </c>
      <c r="B15" s="432">
        <v>45246</v>
      </c>
      <c r="C15" s="431">
        <v>1829</v>
      </c>
      <c r="D15" s="451"/>
      <c r="E15" s="452"/>
      <c r="F15" s="433">
        <v>2025</v>
      </c>
      <c r="G15" s="434">
        <f t="shared" si="0"/>
        <v>3938757</v>
      </c>
      <c r="H15" s="434" t="s">
        <v>760</v>
      </c>
      <c r="I15" s="461" t="s">
        <v>761</v>
      </c>
      <c r="J15" s="426"/>
    </row>
    <row r="16" spans="1:10" s="250" customFormat="1" ht="309" customHeight="1" x14ac:dyDescent="1.35">
      <c r="A16" s="426" t="s">
        <v>113</v>
      </c>
      <c r="B16" s="427">
        <v>45246</v>
      </c>
      <c r="C16" s="426">
        <v>1830</v>
      </c>
      <c r="D16" s="454"/>
      <c r="E16" s="455"/>
      <c r="F16" s="428">
        <v>5000</v>
      </c>
      <c r="G16" s="429">
        <f t="shared" si="0"/>
        <v>3933757</v>
      </c>
      <c r="H16" s="429" t="s">
        <v>199</v>
      </c>
      <c r="I16" s="450" t="s">
        <v>316</v>
      </c>
      <c r="J16" s="426"/>
    </row>
    <row r="17" spans="1:10" s="250" customFormat="1" ht="309" customHeight="1" x14ac:dyDescent="1.35">
      <c r="A17" s="431" t="s">
        <v>113</v>
      </c>
      <c r="B17" s="432">
        <v>45246</v>
      </c>
      <c r="C17" s="431">
        <v>1831</v>
      </c>
      <c r="D17" s="451"/>
      <c r="E17" s="452"/>
      <c r="F17" s="433">
        <v>500</v>
      </c>
      <c r="G17" s="434">
        <f t="shared" si="0"/>
        <v>3933257</v>
      </c>
      <c r="H17" s="434" t="s">
        <v>233</v>
      </c>
      <c r="I17" s="461" t="s">
        <v>316</v>
      </c>
      <c r="J17" s="426"/>
    </row>
    <row r="18" spans="1:10" s="250" customFormat="1" ht="309" customHeight="1" x14ac:dyDescent="1.35">
      <c r="A18" s="426" t="s">
        <v>113</v>
      </c>
      <c r="B18" s="427">
        <v>45246</v>
      </c>
      <c r="C18" s="426">
        <v>1832</v>
      </c>
      <c r="D18" s="454"/>
      <c r="E18" s="455"/>
      <c r="F18" s="428">
        <v>30000</v>
      </c>
      <c r="G18" s="429">
        <f t="shared" si="0"/>
        <v>3903257</v>
      </c>
      <c r="H18" s="429" t="s">
        <v>335</v>
      </c>
      <c r="I18" s="450" t="s">
        <v>316</v>
      </c>
      <c r="J18" s="426"/>
    </row>
    <row r="19" spans="1:10" s="250" customFormat="1" ht="309" customHeight="1" x14ac:dyDescent="1.35">
      <c r="A19" s="431" t="s">
        <v>113</v>
      </c>
      <c r="B19" s="432">
        <v>45246</v>
      </c>
      <c r="C19" s="431">
        <v>1833</v>
      </c>
      <c r="D19" s="451"/>
      <c r="E19" s="452"/>
      <c r="F19" s="433">
        <v>1000</v>
      </c>
      <c r="G19" s="434">
        <f t="shared" si="0"/>
        <v>3902257</v>
      </c>
      <c r="H19" s="434" t="s">
        <v>72</v>
      </c>
      <c r="I19" s="461" t="s">
        <v>224</v>
      </c>
      <c r="J19" s="426"/>
    </row>
    <row r="20" spans="1:10" s="250" customFormat="1" ht="309" customHeight="1" x14ac:dyDescent="1.35">
      <c r="A20" s="426" t="s">
        <v>113</v>
      </c>
      <c r="B20" s="427">
        <v>45246</v>
      </c>
      <c r="C20" s="426">
        <v>1834</v>
      </c>
      <c r="D20" s="454"/>
      <c r="E20" s="455"/>
      <c r="F20" s="428">
        <v>5000</v>
      </c>
      <c r="G20" s="429">
        <f t="shared" si="0"/>
        <v>3897257</v>
      </c>
      <c r="H20" s="429" t="s">
        <v>762</v>
      </c>
      <c r="I20" s="450" t="s">
        <v>763</v>
      </c>
      <c r="J20" s="426"/>
    </row>
    <row r="21" spans="1:10" s="250" customFormat="1" ht="309" customHeight="1" x14ac:dyDescent="1.35">
      <c r="A21" s="431" t="s">
        <v>113</v>
      </c>
      <c r="B21" s="432">
        <v>45246</v>
      </c>
      <c r="C21" s="431">
        <v>1835</v>
      </c>
      <c r="D21" s="451"/>
      <c r="E21" s="452"/>
      <c r="F21" s="433">
        <v>1600</v>
      </c>
      <c r="G21" s="434">
        <f t="shared" si="0"/>
        <v>3895657</v>
      </c>
      <c r="H21" s="434" t="s">
        <v>225</v>
      </c>
      <c r="I21" s="461" t="s">
        <v>764</v>
      </c>
      <c r="J21" s="426"/>
    </row>
    <row r="22" spans="1:10" s="250" customFormat="1" ht="309" customHeight="1" x14ac:dyDescent="1.35">
      <c r="A22" s="426" t="s">
        <v>113</v>
      </c>
      <c r="B22" s="427">
        <v>45246</v>
      </c>
      <c r="C22" s="426">
        <v>1836</v>
      </c>
      <c r="D22" s="454"/>
      <c r="E22" s="455"/>
      <c r="F22" s="428">
        <v>20000</v>
      </c>
      <c r="G22" s="429">
        <f t="shared" si="0"/>
        <v>3875657</v>
      </c>
      <c r="H22" s="429" t="s">
        <v>71</v>
      </c>
      <c r="I22" s="450" t="s">
        <v>316</v>
      </c>
      <c r="J22" s="426"/>
    </row>
    <row r="23" spans="1:10" s="250" customFormat="1" ht="309" customHeight="1" x14ac:dyDescent="1.35">
      <c r="A23" s="431" t="s">
        <v>113</v>
      </c>
      <c r="B23" s="432">
        <v>45246</v>
      </c>
      <c r="C23" s="431">
        <v>1837</v>
      </c>
      <c r="D23" s="451"/>
      <c r="E23" s="452"/>
      <c r="F23" s="433">
        <v>500000</v>
      </c>
      <c r="G23" s="434">
        <f t="shared" si="0"/>
        <v>3375657</v>
      </c>
      <c r="H23" s="434" t="s">
        <v>204</v>
      </c>
      <c r="I23" s="461"/>
      <c r="J23" s="426"/>
    </row>
    <row r="24" spans="1:10" s="250" customFormat="1" ht="309" customHeight="1" x14ac:dyDescent="1.35">
      <c r="A24" s="426" t="s">
        <v>113</v>
      </c>
      <c r="B24" s="427">
        <v>45246</v>
      </c>
      <c r="C24" s="426">
        <v>1838</v>
      </c>
      <c r="D24" s="454"/>
      <c r="E24" s="455"/>
      <c r="F24" s="428">
        <v>500</v>
      </c>
      <c r="G24" s="429">
        <f t="shared" si="0"/>
        <v>3375157</v>
      </c>
      <c r="H24" s="429"/>
      <c r="I24" s="450"/>
      <c r="J24" s="426"/>
    </row>
    <row r="25" spans="1:10" s="250" customFormat="1" ht="309" customHeight="1" x14ac:dyDescent="1.35">
      <c r="A25" s="431" t="s">
        <v>113</v>
      </c>
      <c r="B25" s="432">
        <v>45246</v>
      </c>
      <c r="C25" s="431">
        <v>1839</v>
      </c>
      <c r="D25" s="451"/>
      <c r="E25" s="452"/>
      <c r="F25" s="433">
        <v>8450</v>
      </c>
      <c r="G25" s="434">
        <f t="shared" si="0"/>
        <v>3366707</v>
      </c>
      <c r="H25" s="434"/>
      <c r="I25" s="461"/>
      <c r="J25" s="426"/>
    </row>
    <row r="26" spans="1:10" s="250" customFormat="1" ht="309" customHeight="1" x14ac:dyDescent="1.35">
      <c r="A26" s="426" t="s">
        <v>113</v>
      </c>
      <c r="B26" s="427">
        <v>45246</v>
      </c>
      <c r="C26" s="426">
        <v>1840</v>
      </c>
      <c r="D26" s="454"/>
      <c r="E26" s="455"/>
      <c r="F26" s="428">
        <v>1555</v>
      </c>
      <c r="G26" s="429">
        <f t="shared" si="0"/>
        <v>3365152</v>
      </c>
      <c r="H26" s="429"/>
      <c r="I26" s="450"/>
      <c r="J26" s="426"/>
    </row>
    <row r="27" spans="1:10" s="250" customFormat="1" ht="309" customHeight="1" x14ac:dyDescent="1.35">
      <c r="A27" s="431" t="s">
        <v>113</v>
      </c>
      <c r="B27" s="432">
        <v>45245</v>
      </c>
      <c r="C27" s="431">
        <v>1841</v>
      </c>
      <c r="D27" s="451"/>
      <c r="E27" s="452"/>
      <c r="F27" s="433">
        <v>3750</v>
      </c>
      <c r="G27" s="434">
        <f t="shared" si="0"/>
        <v>3361402</v>
      </c>
      <c r="H27" s="434"/>
      <c r="I27" s="461"/>
      <c r="J27" s="426"/>
    </row>
    <row r="28" spans="1:10" s="250" customFormat="1" ht="309" customHeight="1" x14ac:dyDescent="1.35">
      <c r="A28" s="431" t="s">
        <v>113</v>
      </c>
      <c r="B28" s="427"/>
      <c r="C28" s="426"/>
      <c r="D28" s="454"/>
      <c r="E28" s="455"/>
      <c r="F28" s="428">
        <v>2000</v>
      </c>
      <c r="G28" s="434">
        <f t="shared" si="0"/>
        <v>3359402</v>
      </c>
      <c r="H28" s="429" t="s">
        <v>72</v>
      </c>
      <c r="I28" s="450" t="s">
        <v>338</v>
      </c>
      <c r="J28" s="426"/>
    </row>
    <row r="29" spans="1:10" s="250" customFormat="1" ht="309" customHeight="1" x14ac:dyDescent="1.35">
      <c r="A29" s="431" t="s">
        <v>113</v>
      </c>
      <c r="B29" s="432">
        <v>45245</v>
      </c>
      <c r="C29" s="431"/>
      <c r="D29" s="451"/>
      <c r="E29" s="452"/>
      <c r="F29" s="433">
        <v>3350000</v>
      </c>
      <c r="G29" s="434">
        <f>G28+E29-F29</f>
        <v>9402</v>
      </c>
      <c r="H29" s="434" t="s">
        <v>744</v>
      </c>
      <c r="I29" s="461"/>
      <c r="J29" s="426"/>
    </row>
    <row r="30" spans="1:10" ht="116.25" customHeight="1" thickBot="1" x14ac:dyDescent="0.6">
      <c r="A30" s="386"/>
      <c r="B30" s="398"/>
      <c r="C30" s="386"/>
      <c r="D30" s="386"/>
      <c r="E30" s="390"/>
      <c r="F30" s="388"/>
      <c r="G30" s="389"/>
      <c r="H30" s="391"/>
      <c r="I30" s="386"/>
      <c r="J30" s="386"/>
    </row>
    <row r="31" spans="1:10" s="250" customFormat="1" ht="236.25" customHeight="1" thickTop="1" x14ac:dyDescent="1.35">
      <c r="A31" s="270"/>
      <c r="B31" s="136" t="s">
        <v>127</v>
      </c>
      <c r="C31" s="137" t="s">
        <v>115</v>
      </c>
      <c r="D31" s="137" t="s">
        <v>179</v>
      </c>
      <c r="E31" s="137" t="s">
        <v>116</v>
      </c>
      <c r="F31" s="138" t="s">
        <v>180</v>
      </c>
      <c r="G31" s="139" t="s">
        <v>211</v>
      </c>
      <c r="H31" s="271"/>
      <c r="I31" s="447"/>
      <c r="J31" s="150"/>
    </row>
    <row r="32" spans="1:10" ht="213.75" customHeight="1" thickBot="1" x14ac:dyDescent="0.6">
      <c r="A32" s="161"/>
      <c r="B32" s="140">
        <f>$G$3</f>
        <v>1875072</v>
      </c>
      <c r="C32" s="141">
        <f>SUMIF(A4:A29,B1,E4:E$29)</f>
        <v>2082600</v>
      </c>
      <c r="D32" s="141">
        <f>SUMIF(A4:A29,B1,F4:$F$29)</f>
        <v>3948270</v>
      </c>
      <c r="E32" s="141">
        <f>SUMIF(A3:A29,A1,E3:$E$29)</f>
        <v>0</v>
      </c>
      <c r="F32" s="141">
        <f>SUMIF(A3:A29,A1,F3:$F$29)</f>
        <v>0</v>
      </c>
      <c r="G32" s="142">
        <f>+B32+C32+E32-D32-F32</f>
        <v>9402</v>
      </c>
      <c r="H32" s="164"/>
      <c r="I32" s="180"/>
      <c r="J32" s="180"/>
    </row>
    <row r="33" spans="1:10" ht="288.75" customHeight="1" thickTop="1" x14ac:dyDescent="0.55000000000000004">
      <c r="A33" s="161"/>
      <c r="B33" s="262"/>
      <c r="C33" s="259">
        <f>+B32+C32-D32</f>
        <v>9402</v>
      </c>
      <c r="D33" s="566" t="s">
        <v>181</v>
      </c>
      <c r="E33" s="566"/>
      <c r="F33" s="566"/>
      <c r="G33" s="264"/>
      <c r="H33" s="164"/>
      <c r="I33" s="161"/>
      <c r="J33" s="161"/>
    </row>
    <row r="34" spans="1:10" s="250" customFormat="1" ht="146.25" customHeight="1" x14ac:dyDescent="1.35">
      <c r="A34" s="262"/>
      <c r="B34" s="262"/>
      <c r="C34" s="273"/>
      <c r="D34" s="567" t="s">
        <v>278</v>
      </c>
      <c r="E34" s="567"/>
      <c r="F34" s="567"/>
      <c r="G34" s="264"/>
      <c r="H34" s="272"/>
      <c r="I34" s="262"/>
      <c r="J34" s="262"/>
    </row>
    <row r="35" spans="1:10" s="250" customFormat="1" ht="258.75" customHeight="1" x14ac:dyDescent="1.35">
      <c r="A35" s="262"/>
      <c r="B35" s="262"/>
      <c r="C35" s="273"/>
      <c r="D35" s="274" t="s">
        <v>279</v>
      </c>
      <c r="E35" s="274" t="s">
        <v>280</v>
      </c>
      <c r="F35" s="274" t="s">
        <v>281</v>
      </c>
      <c r="G35" s="264"/>
      <c r="H35" s="272"/>
      <c r="I35" s="262"/>
      <c r="J35" s="262"/>
    </row>
    <row r="36" spans="1:10" ht="258.75" customHeight="1" x14ac:dyDescent="0.55000000000000004">
      <c r="A36" s="161"/>
      <c r="B36" s="161"/>
      <c r="C36" s="161"/>
      <c r="D36" s="275"/>
      <c r="E36" s="276">
        <v>200</v>
      </c>
      <c r="F36" s="276">
        <f>+E36*D36</f>
        <v>0</v>
      </c>
      <c r="G36" s="163"/>
      <c r="H36" s="164"/>
      <c r="I36" s="161"/>
      <c r="J36" s="161"/>
    </row>
    <row r="37" spans="1:10" ht="251.25" customHeight="1" x14ac:dyDescent="0.55000000000000004">
      <c r="A37" s="161"/>
      <c r="B37" s="161"/>
      <c r="C37" s="161"/>
      <c r="D37" s="275">
        <v>43</v>
      </c>
      <c r="E37" s="276">
        <v>100</v>
      </c>
      <c r="F37" s="276">
        <f t="shared" ref="F37:F42" si="1">+E37*D37</f>
        <v>4300</v>
      </c>
      <c r="G37" s="163"/>
      <c r="H37" s="164"/>
      <c r="I37" s="161"/>
      <c r="J37" s="161"/>
    </row>
    <row r="38" spans="1:10" ht="258.75" customHeight="1" x14ac:dyDescent="0.55000000000000004">
      <c r="A38" s="161"/>
      <c r="B38" s="161"/>
      <c r="C38" s="161"/>
      <c r="D38" s="275">
        <f>135-75</f>
        <v>60</v>
      </c>
      <c r="E38" s="276">
        <v>50</v>
      </c>
      <c r="F38" s="276">
        <f t="shared" si="1"/>
        <v>3000</v>
      </c>
      <c r="G38" s="163"/>
      <c r="H38" s="164"/>
      <c r="I38" s="161"/>
      <c r="J38" s="161"/>
    </row>
    <row r="39" spans="1:10" ht="213.75" customHeight="1" x14ac:dyDescent="0.55000000000000004">
      <c r="A39" s="161"/>
      <c r="B39" s="161"/>
      <c r="C39" s="161"/>
      <c r="D39" s="275">
        <v>19</v>
      </c>
      <c r="E39" s="276">
        <v>20</v>
      </c>
      <c r="F39" s="276">
        <f t="shared" si="1"/>
        <v>380</v>
      </c>
      <c r="G39" s="163"/>
      <c r="H39" s="164"/>
      <c r="I39" s="161"/>
      <c r="J39" s="161"/>
    </row>
    <row r="40" spans="1:10" ht="258.75" customHeight="1" x14ac:dyDescent="0.55000000000000004">
      <c r="A40" s="161"/>
      <c r="B40" s="161"/>
      <c r="C40" s="161"/>
      <c r="D40" s="275">
        <v>120</v>
      </c>
      <c r="E40" s="276">
        <v>10</v>
      </c>
      <c r="F40" s="276">
        <f t="shared" si="1"/>
        <v>1200</v>
      </c>
      <c r="G40" s="163"/>
      <c r="H40" s="164"/>
      <c r="I40" s="161"/>
      <c r="J40" s="161"/>
    </row>
    <row r="41" spans="1:10" ht="258.75" customHeight="1" x14ac:dyDescent="0.55000000000000004">
      <c r="A41" s="161"/>
      <c r="B41" s="161"/>
      <c r="C41" s="161"/>
      <c r="D41" s="275">
        <v>60</v>
      </c>
      <c r="E41" s="276">
        <v>5</v>
      </c>
      <c r="F41" s="276">
        <f t="shared" si="1"/>
        <v>300</v>
      </c>
      <c r="G41" s="163"/>
      <c r="H41" s="164"/>
      <c r="I41" s="161"/>
      <c r="J41" s="161"/>
    </row>
    <row r="42" spans="1:10" ht="258.75" customHeight="1" thickBot="1" x14ac:dyDescent="0.6">
      <c r="A42" s="161"/>
      <c r="B42" s="161"/>
      <c r="C42" s="161"/>
      <c r="D42" s="275"/>
      <c r="E42" s="276">
        <v>1</v>
      </c>
      <c r="F42" s="276">
        <f t="shared" si="1"/>
        <v>0</v>
      </c>
      <c r="G42" s="163"/>
      <c r="H42" s="164"/>
      <c r="I42" s="161"/>
      <c r="J42" s="161"/>
    </row>
    <row r="43" spans="1:10" s="250" customFormat="1" ht="213.75" customHeight="1" x14ac:dyDescent="1.35">
      <c r="A43" s="262"/>
      <c r="B43" s="262"/>
      <c r="C43" s="262"/>
      <c r="D43" s="572" t="s">
        <v>283</v>
      </c>
      <c r="E43" s="573"/>
      <c r="F43" s="281">
        <f>SUM(F36:F42)</f>
        <v>9180</v>
      </c>
      <c r="G43" s="264"/>
      <c r="H43" s="272"/>
      <c r="I43" s="262"/>
      <c r="J43" s="262"/>
    </row>
    <row r="44" spans="1:10" s="250" customFormat="1" ht="225.75" customHeight="1" x14ac:dyDescent="1.35">
      <c r="A44" s="262"/>
      <c r="B44" s="262"/>
      <c r="C44" s="262"/>
      <c r="D44" s="574" t="s">
        <v>282</v>
      </c>
      <c r="E44" s="575"/>
      <c r="F44" s="284">
        <f>C33</f>
        <v>9402</v>
      </c>
      <c r="G44" s="264"/>
      <c r="H44" s="272"/>
      <c r="I44" s="262"/>
      <c r="J44" s="262"/>
    </row>
    <row r="45" spans="1:10" s="250" customFormat="1" ht="258.75" customHeight="1" thickBot="1" x14ac:dyDescent="1.4">
      <c r="A45" s="262"/>
      <c r="B45" s="262"/>
      <c r="C45" s="262"/>
      <c r="D45" s="576" t="s">
        <v>284</v>
      </c>
      <c r="E45" s="577"/>
      <c r="F45" s="287">
        <f>+F43-F44</f>
        <v>-222</v>
      </c>
      <c r="G45" s="264"/>
      <c r="H45" s="272"/>
      <c r="I45" s="262"/>
      <c r="J45" s="262"/>
    </row>
  </sheetData>
  <mergeCells count="5">
    <mergeCell ref="D33:F33"/>
    <mergeCell ref="D34:F34"/>
    <mergeCell ref="D43:E43"/>
    <mergeCell ref="D44:E44"/>
    <mergeCell ref="D45:E45"/>
  </mergeCells>
  <conditionalFormatting sqref="A1">
    <cfRule type="cellIs" dxfId="35" priority="5" operator="equal">
      <formula>#REF!</formula>
    </cfRule>
  </conditionalFormatting>
  <conditionalFormatting sqref="A2:A5 A30:A36 A43:A45">
    <cfRule type="cellIs" dxfId="34" priority="7" operator="equal">
      <formula>#REF!</formula>
    </cfRule>
  </conditionalFormatting>
  <conditionalFormatting sqref="A6:A29">
    <cfRule type="cellIs" dxfId="33" priority="1" operator="equal">
      <formula>#REF!</formula>
    </cfRule>
  </conditionalFormatting>
  <conditionalFormatting sqref="A37:A42">
    <cfRule type="cellIs" dxfId="32" priority="3" operator="equal">
      <formula>#REF!</formula>
    </cfRule>
  </conditionalFormatting>
  <conditionalFormatting sqref="B1">
    <cfRule type="cellIs" dxfId="31" priority="4" operator="equal">
      <formula>#REF!</formula>
    </cfRule>
  </conditionalFormatting>
  <conditionalFormatting sqref="C2:D2">
    <cfRule type="duplicateValues" dxfId="30" priority="6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2" manualBreakCount="2">
    <brk id="19" max="8" man="1"/>
    <brk id="33" max="8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J39"/>
  <sheetViews>
    <sheetView rightToLeft="1" view="pageBreakPreview" zoomScale="10" zoomScaleNormal="10" zoomScaleSheetLayoutView="10" workbookViewId="0">
      <pane ySplit="2" topLeftCell="A3" activePane="bottomLeft" state="frozen"/>
      <selection activeCell="A2" sqref="A2"/>
      <selection pane="bottomLeft" activeCell="A4" sqref="A4:I23"/>
    </sheetView>
  </sheetViews>
  <sheetFormatPr defaultColWidth="42.85546875" defaultRowHeight="258.75" customHeight="1" x14ac:dyDescent="0.55000000000000004"/>
  <cols>
    <col min="1" max="1" width="69.7109375" style="334" customWidth="1"/>
    <col min="2" max="2" width="120.140625" style="334" bestFit="1" customWidth="1"/>
    <col min="3" max="3" width="133.8554687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61.42578125" style="334" customWidth="1"/>
    <col min="9" max="9" width="240.5703125" style="334" customWidth="1"/>
    <col min="10" max="10" width="113" style="334" customWidth="1"/>
    <col min="11" max="16384" width="42.85546875" style="334"/>
  </cols>
  <sheetData>
    <row r="1" spans="1:10" ht="258.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198.75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198.75" customHeight="1" x14ac:dyDescent="0.9">
      <c r="A3" s="262"/>
      <c r="B3" s="263"/>
      <c r="C3" s="262"/>
      <c r="D3" s="262"/>
      <c r="E3" s="264"/>
      <c r="F3" s="264"/>
      <c r="G3" s="265">
        <v>9402</v>
      </c>
      <c r="H3" s="265" t="s">
        <v>129</v>
      </c>
      <c r="I3" s="262"/>
      <c r="J3" s="262"/>
    </row>
    <row r="4" spans="1:10" s="250" customFormat="1" ht="309" customHeight="1" x14ac:dyDescent="1.35">
      <c r="A4" s="462" t="s">
        <v>113</v>
      </c>
      <c r="B4" s="463">
        <v>45248</v>
      </c>
      <c r="C4" s="462"/>
      <c r="D4" s="464" t="s">
        <v>394</v>
      </c>
      <c r="E4" s="465">
        <v>2000</v>
      </c>
      <c r="F4" s="283"/>
      <c r="G4" s="466">
        <f>G3+E4-F4</f>
        <v>11402</v>
      </c>
      <c r="H4" s="466" t="s">
        <v>72</v>
      </c>
      <c r="I4" s="467" t="s">
        <v>789</v>
      </c>
      <c r="J4" s="426"/>
    </row>
    <row r="5" spans="1:10" s="250" customFormat="1" ht="309" customHeight="1" x14ac:dyDescent="1.35">
      <c r="A5" s="426" t="s">
        <v>113</v>
      </c>
      <c r="B5" s="427">
        <v>45248</v>
      </c>
      <c r="C5" s="426"/>
      <c r="D5" s="454" t="s">
        <v>394</v>
      </c>
      <c r="E5" s="455">
        <v>4000</v>
      </c>
      <c r="F5" s="428"/>
      <c r="G5" s="429">
        <f>G4+E5-F5</f>
        <v>15402</v>
      </c>
      <c r="H5" s="429" t="s">
        <v>773</v>
      </c>
      <c r="I5" s="450"/>
      <c r="J5" s="426"/>
    </row>
    <row r="6" spans="1:10" s="250" customFormat="1" ht="309" customHeight="1" x14ac:dyDescent="1.35">
      <c r="A6" s="462" t="s">
        <v>113</v>
      </c>
      <c r="B6" s="463">
        <v>45248</v>
      </c>
      <c r="C6" s="462"/>
      <c r="D6" s="464" t="s">
        <v>394</v>
      </c>
      <c r="E6" s="465">
        <v>1710</v>
      </c>
      <c r="F6" s="283"/>
      <c r="G6" s="466">
        <f>G5+E6-F6</f>
        <v>17112</v>
      </c>
      <c r="H6" s="466" t="s">
        <v>774</v>
      </c>
      <c r="I6" s="467"/>
      <c r="J6" s="426"/>
    </row>
    <row r="7" spans="1:10" s="250" customFormat="1" ht="309" customHeight="1" x14ac:dyDescent="1.35">
      <c r="A7" s="426" t="s">
        <v>113</v>
      </c>
      <c r="B7" s="427">
        <v>45248</v>
      </c>
      <c r="C7" s="426"/>
      <c r="D7" s="454" t="s">
        <v>394</v>
      </c>
      <c r="E7" s="455">
        <v>2287</v>
      </c>
      <c r="F7" s="428"/>
      <c r="G7" s="429">
        <f t="shared" ref="G7:G22" si="0">G6+E7-F7</f>
        <v>19399</v>
      </c>
      <c r="H7" s="429" t="s">
        <v>775</v>
      </c>
      <c r="I7" s="450"/>
      <c r="J7" s="426"/>
    </row>
    <row r="8" spans="1:10" s="250" customFormat="1" ht="309" customHeight="1" x14ac:dyDescent="1.35">
      <c r="A8" s="462" t="s">
        <v>113</v>
      </c>
      <c r="B8" s="463">
        <v>45248</v>
      </c>
      <c r="C8" s="462"/>
      <c r="D8" s="464" t="s">
        <v>394</v>
      </c>
      <c r="E8" s="465">
        <v>3810</v>
      </c>
      <c r="F8" s="283"/>
      <c r="G8" s="466">
        <f t="shared" si="0"/>
        <v>23209</v>
      </c>
      <c r="H8" s="466" t="s">
        <v>777</v>
      </c>
      <c r="I8" s="467" t="s">
        <v>778</v>
      </c>
      <c r="J8" s="426"/>
    </row>
    <row r="9" spans="1:10" s="250" customFormat="1" ht="309" customHeight="1" x14ac:dyDescent="1.35">
      <c r="A9" s="426" t="s">
        <v>113</v>
      </c>
      <c r="B9" s="427">
        <v>45248</v>
      </c>
      <c r="C9" s="426"/>
      <c r="D9" s="454" t="s">
        <v>394</v>
      </c>
      <c r="E9" s="455">
        <v>1767</v>
      </c>
      <c r="F9" s="428"/>
      <c r="G9" s="429">
        <f t="shared" si="0"/>
        <v>24976</v>
      </c>
      <c r="H9" s="429" t="s">
        <v>779</v>
      </c>
      <c r="I9" s="450"/>
      <c r="J9" s="426"/>
    </row>
    <row r="10" spans="1:10" s="250" customFormat="1" ht="309" customHeight="1" x14ac:dyDescent="1.35">
      <c r="A10" s="462" t="s">
        <v>113</v>
      </c>
      <c r="B10" s="463">
        <v>45248</v>
      </c>
      <c r="C10" s="462"/>
      <c r="D10" s="464" t="s">
        <v>394</v>
      </c>
      <c r="E10" s="465">
        <v>100000</v>
      </c>
      <c r="F10" s="283"/>
      <c r="G10" s="466">
        <f t="shared" si="0"/>
        <v>124976</v>
      </c>
      <c r="H10" s="466" t="s">
        <v>780</v>
      </c>
      <c r="I10" s="467"/>
      <c r="J10" s="426"/>
    </row>
    <row r="11" spans="1:10" s="250" customFormat="1" ht="309" customHeight="1" x14ac:dyDescent="1.35">
      <c r="A11" s="426" t="s">
        <v>113</v>
      </c>
      <c r="B11" s="427">
        <v>45248</v>
      </c>
      <c r="C11" s="426"/>
      <c r="D11" s="454" t="s">
        <v>394</v>
      </c>
      <c r="E11" s="455">
        <v>100000</v>
      </c>
      <c r="F11" s="428"/>
      <c r="G11" s="429">
        <f t="shared" si="0"/>
        <v>224976</v>
      </c>
      <c r="H11" s="429" t="s">
        <v>780</v>
      </c>
      <c r="I11" s="450"/>
      <c r="J11" s="426"/>
    </row>
    <row r="12" spans="1:10" s="250" customFormat="1" ht="309" customHeight="1" x14ac:dyDescent="1.35">
      <c r="A12" s="462" t="s">
        <v>113</v>
      </c>
      <c r="B12" s="463">
        <v>45248</v>
      </c>
      <c r="C12" s="462"/>
      <c r="D12" s="464" t="s">
        <v>394</v>
      </c>
      <c r="E12" s="465">
        <v>400000</v>
      </c>
      <c r="F12" s="283"/>
      <c r="G12" s="466">
        <f t="shared" si="0"/>
        <v>624976</v>
      </c>
      <c r="H12" s="466" t="s">
        <v>780</v>
      </c>
      <c r="I12" s="467"/>
      <c r="J12" s="426"/>
    </row>
    <row r="13" spans="1:10" s="250" customFormat="1" ht="309" customHeight="1" x14ac:dyDescent="1.35">
      <c r="A13" s="426" t="s">
        <v>113</v>
      </c>
      <c r="B13" s="427">
        <v>45248</v>
      </c>
      <c r="C13" s="426"/>
      <c r="D13" s="454">
        <v>1274</v>
      </c>
      <c r="E13" s="455">
        <v>62500</v>
      </c>
      <c r="F13" s="428"/>
      <c r="G13" s="429">
        <f t="shared" si="0"/>
        <v>687476</v>
      </c>
      <c r="H13" s="429" t="s">
        <v>786</v>
      </c>
      <c r="I13" s="450" t="s">
        <v>787</v>
      </c>
      <c r="J13" s="426"/>
    </row>
    <row r="14" spans="1:10" s="250" customFormat="1" ht="309" customHeight="1" x14ac:dyDescent="1.35">
      <c r="A14" s="462" t="s">
        <v>113</v>
      </c>
      <c r="B14" s="463">
        <v>45248</v>
      </c>
      <c r="C14" s="462">
        <v>1842</v>
      </c>
      <c r="D14" s="464"/>
      <c r="E14" s="465"/>
      <c r="F14" s="283">
        <v>10000</v>
      </c>
      <c r="G14" s="466">
        <f t="shared" si="0"/>
        <v>677476</v>
      </c>
      <c r="H14" s="466" t="s">
        <v>546</v>
      </c>
      <c r="I14" s="467" t="s">
        <v>770</v>
      </c>
      <c r="J14" s="426"/>
    </row>
    <row r="15" spans="1:10" s="250" customFormat="1" ht="309" customHeight="1" x14ac:dyDescent="1.35">
      <c r="A15" s="426" t="s">
        <v>113</v>
      </c>
      <c r="B15" s="427">
        <v>45248</v>
      </c>
      <c r="C15" s="426">
        <v>1843</v>
      </c>
      <c r="D15" s="454"/>
      <c r="E15" s="455"/>
      <c r="F15" s="428">
        <v>2500</v>
      </c>
      <c r="G15" s="429">
        <f t="shared" si="0"/>
        <v>674976</v>
      </c>
      <c r="H15" s="429" t="s">
        <v>771</v>
      </c>
      <c r="I15" s="450" t="s">
        <v>772</v>
      </c>
      <c r="J15" s="426"/>
    </row>
    <row r="16" spans="1:10" s="250" customFormat="1" ht="309" customHeight="1" x14ac:dyDescent="1.35">
      <c r="A16" s="462" t="s">
        <v>113</v>
      </c>
      <c r="B16" s="463">
        <v>45248</v>
      </c>
      <c r="C16" s="462">
        <v>1844</v>
      </c>
      <c r="D16" s="464"/>
      <c r="E16" s="465"/>
      <c r="F16" s="283">
        <v>3000</v>
      </c>
      <c r="G16" s="466">
        <f t="shared" si="0"/>
        <v>671976</v>
      </c>
      <c r="H16" s="466" t="s">
        <v>118</v>
      </c>
      <c r="I16" s="467" t="s">
        <v>316</v>
      </c>
      <c r="J16" s="426"/>
    </row>
    <row r="17" spans="1:10" s="250" customFormat="1" ht="309" customHeight="1" x14ac:dyDescent="1.35">
      <c r="A17" s="426" t="s">
        <v>113</v>
      </c>
      <c r="B17" s="427">
        <v>45248</v>
      </c>
      <c r="C17" s="426">
        <v>1845</v>
      </c>
      <c r="D17" s="454"/>
      <c r="E17" s="455"/>
      <c r="F17" s="428">
        <v>3350</v>
      </c>
      <c r="G17" s="429">
        <f t="shared" si="0"/>
        <v>668626</v>
      </c>
      <c r="H17" s="429" t="s">
        <v>72</v>
      </c>
      <c r="I17" s="450" t="s">
        <v>776</v>
      </c>
      <c r="J17" s="426"/>
    </row>
    <row r="18" spans="1:10" s="250" customFormat="1" ht="309" customHeight="1" x14ac:dyDescent="1.35">
      <c r="A18" s="462" t="s">
        <v>113</v>
      </c>
      <c r="B18" s="463">
        <v>45248</v>
      </c>
      <c r="C18" s="462">
        <v>1846</v>
      </c>
      <c r="D18" s="464"/>
      <c r="E18" s="465"/>
      <c r="F18" s="283">
        <v>70000</v>
      </c>
      <c r="G18" s="466">
        <f t="shared" si="0"/>
        <v>598626</v>
      </c>
      <c r="H18" s="466" t="s">
        <v>71</v>
      </c>
      <c r="I18" s="467" t="s">
        <v>316</v>
      </c>
      <c r="J18" s="426"/>
    </row>
    <row r="19" spans="1:10" s="250" customFormat="1" ht="309" customHeight="1" x14ac:dyDescent="1.35">
      <c r="A19" s="426" t="s">
        <v>113</v>
      </c>
      <c r="B19" s="427">
        <v>45248</v>
      </c>
      <c r="C19" s="426">
        <v>1847</v>
      </c>
      <c r="D19" s="454"/>
      <c r="E19" s="455"/>
      <c r="F19" s="428">
        <v>11000</v>
      </c>
      <c r="G19" s="429">
        <f t="shared" si="0"/>
        <v>587626</v>
      </c>
      <c r="H19" s="429" t="s">
        <v>781</v>
      </c>
      <c r="I19" s="450" t="s">
        <v>782</v>
      </c>
      <c r="J19" s="426"/>
    </row>
    <row r="20" spans="1:10" s="250" customFormat="1" ht="309" customHeight="1" x14ac:dyDescent="1.35">
      <c r="A20" s="462" t="s">
        <v>113</v>
      </c>
      <c r="B20" s="463">
        <v>45248</v>
      </c>
      <c r="C20" s="462">
        <v>1848</v>
      </c>
      <c r="D20" s="464"/>
      <c r="E20" s="465"/>
      <c r="F20" s="283">
        <v>400000</v>
      </c>
      <c r="G20" s="466">
        <f t="shared" si="0"/>
        <v>187626</v>
      </c>
      <c r="H20" s="466" t="s">
        <v>351</v>
      </c>
      <c r="I20" s="467" t="s">
        <v>783</v>
      </c>
      <c r="J20" s="426"/>
    </row>
    <row r="21" spans="1:10" s="250" customFormat="1" ht="309" customHeight="1" x14ac:dyDescent="1.35">
      <c r="A21" s="426" t="s">
        <v>113</v>
      </c>
      <c r="B21" s="427">
        <v>45248</v>
      </c>
      <c r="C21" s="426">
        <v>1849</v>
      </c>
      <c r="D21" s="454"/>
      <c r="E21" s="455"/>
      <c r="F21" s="428">
        <v>100000</v>
      </c>
      <c r="G21" s="429">
        <f t="shared" si="0"/>
        <v>87626</v>
      </c>
      <c r="H21" s="429" t="s">
        <v>784</v>
      </c>
      <c r="I21" s="450" t="s">
        <v>785</v>
      </c>
      <c r="J21" s="426"/>
    </row>
    <row r="22" spans="1:10" s="458" customFormat="1" ht="309" customHeight="1" x14ac:dyDescent="1.35">
      <c r="A22" s="441" t="s">
        <v>113</v>
      </c>
      <c r="B22" s="442">
        <v>45248</v>
      </c>
      <c r="C22" s="441"/>
      <c r="D22" s="456"/>
      <c r="E22" s="457"/>
      <c r="F22" s="443">
        <v>1100</v>
      </c>
      <c r="G22" s="444">
        <f t="shared" si="0"/>
        <v>86526</v>
      </c>
      <c r="H22" s="444" t="s">
        <v>72</v>
      </c>
      <c r="I22" s="459" t="s">
        <v>338</v>
      </c>
      <c r="J22" s="441"/>
    </row>
    <row r="23" spans="1:10" s="458" customFormat="1" ht="309" customHeight="1" x14ac:dyDescent="1.35">
      <c r="A23" s="441" t="s">
        <v>113</v>
      </c>
      <c r="B23" s="442">
        <v>45248</v>
      </c>
      <c r="C23" s="441"/>
      <c r="D23" s="456"/>
      <c r="E23" s="457"/>
      <c r="F23" s="443"/>
      <c r="G23" s="444">
        <f>G22+E23-F23</f>
        <v>86526</v>
      </c>
      <c r="H23" s="444" t="s">
        <v>788</v>
      </c>
      <c r="I23" s="459"/>
      <c r="J23" s="441"/>
    </row>
    <row r="24" spans="1:10" ht="116.25" customHeight="1" thickBot="1" x14ac:dyDescent="0.6">
      <c r="A24" s="386"/>
      <c r="B24" s="398"/>
      <c r="C24" s="386"/>
      <c r="D24" s="386"/>
      <c r="E24" s="390"/>
      <c r="F24" s="388"/>
      <c r="G24" s="389"/>
      <c r="H24" s="391"/>
      <c r="I24" s="386"/>
      <c r="J24" s="386"/>
    </row>
    <row r="25" spans="1:10" s="250" customFormat="1" ht="236.25" customHeight="1" thickTop="1" x14ac:dyDescent="1.35">
      <c r="A25" s="270"/>
      <c r="B25" s="136" t="s">
        <v>127</v>
      </c>
      <c r="C25" s="137" t="s">
        <v>115</v>
      </c>
      <c r="D25" s="137" t="s">
        <v>179</v>
      </c>
      <c r="E25" s="137" t="s">
        <v>116</v>
      </c>
      <c r="F25" s="138" t="s">
        <v>180</v>
      </c>
      <c r="G25" s="139" t="s">
        <v>211</v>
      </c>
      <c r="H25" s="271"/>
      <c r="I25" s="447"/>
      <c r="J25" s="150"/>
    </row>
    <row r="26" spans="1:10" ht="213.75" customHeight="1" thickBot="1" x14ac:dyDescent="0.6">
      <c r="A26" s="161"/>
      <c r="B26" s="140">
        <f>$G$3</f>
        <v>9402</v>
      </c>
      <c r="C26" s="141">
        <f>SUMIF(A4:A23,B1,E4:E$23)</f>
        <v>678074</v>
      </c>
      <c r="D26" s="141">
        <f>SUMIF(A4:A23,B1,F4:$F$23)</f>
        <v>600950</v>
      </c>
      <c r="E26" s="141">
        <f>SUMIF(A3:A23,A1,E3:$E$23)</f>
        <v>0</v>
      </c>
      <c r="F26" s="141">
        <f>SUMIF(A3:A23,A1,F3:$F$23)</f>
        <v>0</v>
      </c>
      <c r="G26" s="142">
        <f>+B26+C26+E26-D26-F26</f>
        <v>86526</v>
      </c>
      <c r="H26" s="164"/>
      <c r="I26" s="180"/>
      <c r="J26" s="180"/>
    </row>
    <row r="27" spans="1:10" ht="408.75" customHeight="1" thickTop="1" x14ac:dyDescent="0.55000000000000004">
      <c r="A27" s="161"/>
      <c r="B27" s="262"/>
      <c r="C27" s="259">
        <f>+B26+C26-D26</f>
        <v>86526</v>
      </c>
      <c r="D27" s="566" t="s">
        <v>181</v>
      </c>
      <c r="E27" s="566"/>
      <c r="F27" s="566"/>
      <c r="G27" s="264"/>
      <c r="H27" s="164"/>
      <c r="I27" s="161"/>
      <c r="J27" s="161"/>
    </row>
    <row r="28" spans="1:10" s="250" customFormat="1" ht="146.25" customHeight="1" x14ac:dyDescent="1.35">
      <c r="A28" s="262"/>
      <c r="B28" s="262"/>
      <c r="C28" s="273"/>
      <c r="D28" s="567" t="s">
        <v>278</v>
      </c>
      <c r="E28" s="567"/>
      <c r="F28" s="567"/>
      <c r="G28" s="264"/>
      <c r="H28" s="272"/>
      <c r="I28" s="262"/>
      <c r="J28" s="262"/>
    </row>
    <row r="29" spans="1:10" s="250" customFormat="1" ht="258.75" customHeight="1" x14ac:dyDescent="1.35">
      <c r="A29" s="262"/>
      <c r="B29" s="262"/>
      <c r="C29" s="273"/>
      <c r="D29" s="274" t="s">
        <v>279</v>
      </c>
      <c r="E29" s="274" t="s">
        <v>280</v>
      </c>
      <c r="F29" s="274" t="s">
        <v>281</v>
      </c>
      <c r="G29" s="264"/>
      <c r="H29" s="272"/>
      <c r="I29" s="262"/>
      <c r="J29" s="262"/>
    </row>
    <row r="30" spans="1:10" ht="258.75" customHeight="1" x14ac:dyDescent="0.55000000000000004">
      <c r="A30" s="161"/>
      <c r="B30" s="161"/>
      <c r="C30" s="161"/>
      <c r="D30" s="275">
        <v>140</v>
      </c>
      <c r="E30" s="276">
        <v>200</v>
      </c>
      <c r="F30" s="276">
        <f>+E30*D30</f>
        <v>28000</v>
      </c>
      <c r="G30" s="163"/>
      <c r="H30" s="164"/>
      <c r="I30" s="161"/>
      <c r="J30" s="161"/>
    </row>
    <row r="31" spans="1:10" ht="251.25" customHeight="1" x14ac:dyDescent="0.55000000000000004">
      <c r="A31" s="161"/>
      <c r="B31" s="161"/>
      <c r="C31" s="161"/>
      <c r="D31" s="275">
        <f>345+18</f>
        <v>363</v>
      </c>
      <c r="E31" s="276">
        <v>100</v>
      </c>
      <c r="F31" s="276">
        <f t="shared" ref="F31:F36" si="1">+E31*D31</f>
        <v>36300</v>
      </c>
      <c r="G31" s="163"/>
      <c r="H31" s="164"/>
      <c r="I31" s="161"/>
      <c r="J31" s="161"/>
    </row>
    <row r="32" spans="1:10" ht="258.75" customHeight="1" x14ac:dyDescent="0.55000000000000004">
      <c r="A32" s="161"/>
      <c r="B32" s="161"/>
      <c r="C32" s="161"/>
      <c r="D32" s="275">
        <f>380+54</f>
        <v>434</v>
      </c>
      <c r="E32" s="276">
        <v>50</v>
      </c>
      <c r="F32" s="276">
        <f t="shared" si="1"/>
        <v>21700</v>
      </c>
      <c r="G32" s="163"/>
      <c r="H32" s="164"/>
      <c r="I32" s="161"/>
      <c r="J32" s="161"/>
    </row>
    <row r="33" spans="1:10" ht="213.75" customHeight="1" x14ac:dyDescent="0.55000000000000004">
      <c r="A33" s="161"/>
      <c r="B33" s="161"/>
      <c r="C33" s="161"/>
      <c r="D33" s="275">
        <v>2</v>
      </c>
      <c r="E33" s="276">
        <v>20</v>
      </c>
      <c r="F33" s="276">
        <f t="shared" si="1"/>
        <v>40</v>
      </c>
      <c r="G33" s="163"/>
      <c r="H33" s="164"/>
      <c r="I33" s="161"/>
      <c r="J33" s="161"/>
    </row>
    <row r="34" spans="1:10" ht="258.75" customHeight="1" x14ac:dyDescent="0.55000000000000004">
      <c r="A34" s="161"/>
      <c r="B34" s="161"/>
      <c r="C34" s="161"/>
      <c r="D34" s="275">
        <v>13</v>
      </c>
      <c r="E34" s="276">
        <v>10</v>
      </c>
      <c r="F34" s="276">
        <f t="shared" si="1"/>
        <v>130</v>
      </c>
      <c r="G34" s="163"/>
      <c r="H34" s="164"/>
      <c r="I34" s="161"/>
      <c r="J34" s="161"/>
    </row>
    <row r="35" spans="1:10" ht="258.75" customHeight="1" x14ac:dyDescent="0.55000000000000004">
      <c r="A35" s="161"/>
      <c r="B35" s="161"/>
      <c r="C35" s="161"/>
      <c r="D35" s="275">
        <v>25</v>
      </c>
      <c r="E35" s="276">
        <v>5</v>
      </c>
      <c r="F35" s="276">
        <f t="shared" si="1"/>
        <v>125</v>
      </c>
      <c r="G35" s="163"/>
      <c r="H35" s="164"/>
      <c r="I35" s="161"/>
      <c r="J35" s="161"/>
    </row>
    <row r="36" spans="1:10" ht="258.75" customHeight="1" thickBot="1" x14ac:dyDescent="0.6">
      <c r="A36" s="161"/>
      <c r="B36" s="161"/>
      <c r="C36" s="161"/>
      <c r="D36" s="275">
        <v>9</v>
      </c>
      <c r="E36" s="276">
        <v>1</v>
      </c>
      <c r="F36" s="276">
        <f t="shared" si="1"/>
        <v>9</v>
      </c>
      <c r="G36" s="163"/>
      <c r="H36" s="164"/>
      <c r="I36" s="161"/>
      <c r="J36" s="161"/>
    </row>
    <row r="37" spans="1:10" s="250" customFormat="1" ht="213.75" customHeight="1" x14ac:dyDescent="1.35">
      <c r="A37" s="262"/>
      <c r="B37" s="262"/>
      <c r="C37" s="262"/>
      <c r="D37" s="572" t="s">
        <v>283</v>
      </c>
      <c r="E37" s="573"/>
      <c r="F37" s="281">
        <f>SUM(F30:F36)</f>
        <v>86304</v>
      </c>
      <c r="G37" s="264"/>
      <c r="H37" s="272"/>
      <c r="I37" s="262"/>
      <c r="J37" s="262"/>
    </row>
    <row r="38" spans="1:10" s="250" customFormat="1" ht="225.75" customHeight="1" x14ac:dyDescent="1.35">
      <c r="A38" s="262"/>
      <c r="B38" s="262"/>
      <c r="C38" s="262"/>
      <c r="D38" s="574" t="s">
        <v>282</v>
      </c>
      <c r="E38" s="575"/>
      <c r="F38" s="284">
        <f>C27</f>
        <v>86526</v>
      </c>
      <c r="G38" s="264"/>
      <c r="H38" s="272"/>
      <c r="I38" s="262"/>
      <c r="J38" s="262"/>
    </row>
    <row r="39" spans="1:10" s="250" customFormat="1" ht="258.75" customHeight="1" thickBot="1" x14ac:dyDescent="1.4">
      <c r="A39" s="262"/>
      <c r="B39" s="262"/>
      <c r="C39" s="262"/>
      <c r="D39" s="576" t="s">
        <v>284</v>
      </c>
      <c r="E39" s="577"/>
      <c r="F39" s="287">
        <f>+F37-F38</f>
        <v>-222</v>
      </c>
      <c r="G39" s="264"/>
      <c r="H39" s="272"/>
      <c r="I39" s="262"/>
      <c r="J39" s="262"/>
    </row>
  </sheetData>
  <mergeCells count="5">
    <mergeCell ref="D27:F27"/>
    <mergeCell ref="D28:F28"/>
    <mergeCell ref="D37:E37"/>
    <mergeCell ref="D38:E38"/>
    <mergeCell ref="D39:E39"/>
  </mergeCells>
  <conditionalFormatting sqref="A1">
    <cfRule type="cellIs" dxfId="29" priority="5" operator="equal">
      <formula>#REF!</formula>
    </cfRule>
  </conditionalFormatting>
  <conditionalFormatting sqref="A2:A5 A22:A30 A37:A39">
    <cfRule type="cellIs" dxfId="28" priority="7" operator="equal">
      <formula>#REF!</formula>
    </cfRule>
  </conditionalFormatting>
  <conditionalFormatting sqref="A6:A21">
    <cfRule type="cellIs" dxfId="27" priority="1" operator="equal">
      <formula>#REF!</formula>
    </cfRule>
  </conditionalFormatting>
  <conditionalFormatting sqref="A31:A36">
    <cfRule type="cellIs" dxfId="26" priority="3" operator="equal">
      <formula>#REF!</formula>
    </cfRule>
  </conditionalFormatting>
  <conditionalFormatting sqref="B1">
    <cfRule type="cellIs" dxfId="25" priority="4" operator="equal">
      <formula>#REF!</formula>
    </cfRule>
  </conditionalFormatting>
  <conditionalFormatting sqref="C2:D2">
    <cfRule type="duplicateValues" dxfId="24" priority="6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2" manualBreakCount="2">
    <brk id="14" max="8" man="1"/>
    <brk id="27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59"/>
  <sheetViews>
    <sheetView showGridLines="0" rightToLeft="1" zoomScale="40" zoomScaleNormal="40" workbookViewId="0">
      <pane ySplit="1" topLeftCell="A23" activePane="bottomLeft" state="frozen"/>
      <selection pane="bottomLeft" activeCell="H16" sqref="H16"/>
    </sheetView>
  </sheetViews>
  <sheetFormatPr defaultColWidth="17.140625" defaultRowHeight="15" x14ac:dyDescent="0.25"/>
  <cols>
    <col min="1" max="1" width="32.42578125" style="30" customWidth="1"/>
    <col min="2" max="2" width="19.42578125" style="30" bestFit="1" customWidth="1"/>
    <col min="3" max="3" width="30.42578125" style="30" bestFit="1" customWidth="1"/>
    <col min="4" max="4" width="33.85546875" style="30" bestFit="1" customWidth="1"/>
    <col min="5" max="5" width="28.85546875" style="30" bestFit="1" customWidth="1"/>
    <col min="6" max="6" width="33.85546875" style="30" bestFit="1" customWidth="1"/>
    <col min="7" max="7" width="29.28515625" style="30" bestFit="1" customWidth="1"/>
    <col min="8" max="8" width="70.140625" style="30" customWidth="1"/>
    <col min="9" max="9" width="52.5703125" style="30" customWidth="1"/>
    <col min="10" max="10" width="31.5703125" style="30" customWidth="1"/>
    <col min="11" max="16384" width="17.140625" style="30"/>
  </cols>
  <sheetData>
    <row r="1" spans="1:10" s="85" customFormat="1" ht="62.25" customHeight="1" thickBot="1" x14ac:dyDescent="0.3">
      <c r="A1" s="81" t="s">
        <v>132</v>
      </c>
      <c r="B1" s="82" t="s">
        <v>1</v>
      </c>
      <c r="C1" s="83" t="s">
        <v>86</v>
      </c>
      <c r="D1" s="83" t="s">
        <v>163</v>
      </c>
      <c r="E1" s="84" t="s">
        <v>2</v>
      </c>
      <c r="F1" s="84" t="s">
        <v>3</v>
      </c>
      <c r="G1" s="84" t="s">
        <v>4</v>
      </c>
      <c r="H1" s="83" t="s">
        <v>92</v>
      </c>
      <c r="I1" s="83" t="s">
        <v>6</v>
      </c>
      <c r="J1" s="83" t="s">
        <v>7</v>
      </c>
    </row>
    <row r="2" spans="1:10" s="55" customFormat="1" ht="54.75" customHeight="1" x14ac:dyDescent="0.25">
      <c r="B2" s="56"/>
      <c r="E2" s="57"/>
      <c r="F2" s="57"/>
      <c r="G2" s="57">
        <v>178551</v>
      </c>
      <c r="H2" s="55" t="s">
        <v>129</v>
      </c>
      <c r="I2" s="58"/>
    </row>
    <row r="3" spans="1:10" s="55" customFormat="1" ht="54.75" customHeight="1" x14ac:dyDescent="0.25">
      <c r="A3" s="55" t="s">
        <v>113</v>
      </c>
      <c r="B3" s="56"/>
      <c r="E3" s="64">
        <v>10650</v>
      </c>
      <c r="F3" s="64"/>
      <c r="G3" s="64">
        <f t="shared" ref="G3:G16" si="0">+G2+E3-F3</f>
        <v>189201</v>
      </c>
      <c r="I3" s="58"/>
    </row>
    <row r="4" spans="1:10" s="55" customFormat="1" ht="54.75" customHeight="1" x14ac:dyDescent="0.25">
      <c r="A4" s="59" t="s">
        <v>113</v>
      </c>
      <c r="B4" s="60">
        <v>45207</v>
      </c>
      <c r="C4" s="59">
        <v>1558</v>
      </c>
      <c r="D4" s="59"/>
      <c r="E4" s="61"/>
      <c r="F4" s="61">
        <v>10650</v>
      </c>
      <c r="G4" s="61">
        <f t="shared" si="0"/>
        <v>178551</v>
      </c>
      <c r="H4" s="59" t="s">
        <v>145</v>
      </c>
      <c r="I4" s="62" t="s">
        <v>148</v>
      </c>
      <c r="J4" s="59"/>
    </row>
    <row r="5" spans="1:10" s="55" customFormat="1" ht="54.75" customHeight="1" x14ac:dyDescent="0.25">
      <c r="A5" s="55" t="s">
        <v>113</v>
      </c>
      <c r="B5" s="56">
        <v>45207</v>
      </c>
      <c r="C5" s="55">
        <v>1559</v>
      </c>
      <c r="E5" s="64"/>
      <c r="F5" s="64">
        <v>2000</v>
      </c>
      <c r="G5" s="64">
        <f t="shared" si="0"/>
        <v>176551</v>
      </c>
      <c r="H5" s="55" t="s">
        <v>149</v>
      </c>
      <c r="I5" s="58"/>
    </row>
    <row r="6" spans="1:10" s="55" customFormat="1" ht="54.75" customHeight="1" x14ac:dyDescent="0.25">
      <c r="A6" s="59" t="s">
        <v>113</v>
      </c>
      <c r="B6" s="60">
        <v>45207</v>
      </c>
      <c r="C6" s="59">
        <v>1560</v>
      </c>
      <c r="D6" s="59"/>
      <c r="E6" s="61"/>
      <c r="F6" s="61">
        <v>2012</v>
      </c>
      <c r="G6" s="61">
        <f t="shared" si="0"/>
        <v>174539</v>
      </c>
      <c r="H6" s="59" t="s">
        <v>150</v>
      </c>
      <c r="I6" s="62"/>
      <c r="J6" s="59"/>
    </row>
    <row r="7" spans="1:10" s="55" customFormat="1" ht="54.75" customHeight="1" x14ac:dyDescent="0.25">
      <c r="A7" s="55" t="s">
        <v>113</v>
      </c>
      <c r="B7" s="56">
        <v>45207</v>
      </c>
      <c r="C7" s="55">
        <v>1561</v>
      </c>
      <c r="E7" s="64"/>
      <c r="F7" s="64">
        <v>9500</v>
      </c>
      <c r="G7" s="64">
        <f t="shared" si="0"/>
        <v>165039</v>
      </c>
      <c r="H7" s="55" t="s">
        <v>85</v>
      </c>
      <c r="I7" s="58" t="s">
        <v>151</v>
      </c>
    </row>
    <row r="8" spans="1:10" s="55" customFormat="1" ht="54.75" customHeight="1" x14ac:dyDescent="0.25">
      <c r="A8" s="59" t="s">
        <v>113</v>
      </c>
      <c r="B8" s="60">
        <v>45207</v>
      </c>
      <c r="C8" s="59">
        <v>1562</v>
      </c>
      <c r="D8" s="59"/>
      <c r="E8" s="61"/>
      <c r="F8" s="61">
        <v>21375</v>
      </c>
      <c r="G8" s="61">
        <f t="shared" si="0"/>
        <v>143664</v>
      </c>
      <c r="H8" s="59" t="s">
        <v>152</v>
      </c>
      <c r="I8" s="62" t="s">
        <v>153</v>
      </c>
      <c r="J8" s="59"/>
    </row>
    <row r="9" spans="1:10" s="55" customFormat="1" ht="54.75" customHeight="1" x14ac:dyDescent="0.25">
      <c r="A9" s="55" t="s">
        <v>113</v>
      </c>
      <c r="B9" s="56">
        <v>45207</v>
      </c>
      <c r="C9" s="55">
        <v>1563</v>
      </c>
      <c r="E9" s="64"/>
      <c r="F9" s="64">
        <v>187450</v>
      </c>
      <c r="G9" s="64">
        <f t="shared" si="0"/>
        <v>-43786</v>
      </c>
      <c r="H9" s="55" t="s">
        <v>154</v>
      </c>
      <c r="I9" s="58" t="s">
        <v>155</v>
      </c>
    </row>
    <row r="10" spans="1:10" s="55" customFormat="1" ht="54.75" customHeight="1" x14ac:dyDescent="0.25">
      <c r="A10" s="59" t="s">
        <v>113</v>
      </c>
      <c r="B10" s="60">
        <v>45207</v>
      </c>
      <c r="C10" s="59">
        <v>1564</v>
      </c>
      <c r="D10" s="59"/>
      <c r="E10" s="61"/>
      <c r="F10" s="61">
        <v>5000</v>
      </c>
      <c r="G10" s="61">
        <f t="shared" si="0"/>
        <v>-48786</v>
      </c>
      <c r="H10" s="59" t="s">
        <v>156</v>
      </c>
      <c r="I10" s="62" t="s">
        <v>157</v>
      </c>
      <c r="J10" s="59"/>
    </row>
    <row r="11" spans="1:10" s="55" customFormat="1" ht="54.75" customHeight="1" x14ac:dyDescent="0.25">
      <c r="A11" s="55" t="s">
        <v>113</v>
      </c>
      <c r="B11" s="56">
        <v>45207</v>
      </c>
      <c r="C11" s="55">
        <v>1565</v>
      </c>
      <c r="E11" s="64"/>
      <c r="F11" s="64">
        <v>1000</v>
      </c>
      <c r="G11" s="64">
        <f t="shared" si="0"/>
        <v>-49786</v>
      </c>
      <c r="H11" s="55" t="s">
        <v>158</v>
      </c>
      <c r="I11" s="58" t="s">
        <v>159</v>
      </c>
    </row>
    <row r="12" spans="1:10" s="55" customFormat="1" ht="54.75" customHeight="1" x14ac:dyDescent="0.25">
      <c r="A12" s="59" t="s">
        <v>113</v>
      </c>
      <c r="B12" s="60">
        <v>45207</v>
      </c>
      <c r="C12" s="59">
        <v>1566</v>
      </c>
      <c r="D12" s="59"/>
      <c r="E12" s="61"/>
      <c r="F12" s="61">
        <v>20000</v>
      </c>
      <c r="G12" s="61">
        <f t="shared" si="0"/>
        <v>-69786</v>
      </c>
      <c r="H12" s="59" t="s">
        <v>160</v>
      </c>
      <c r="I12" s="62" t="s">
        <v>161</v>
      </c>
      <c r="J12" s="59"/>
    </row>
    <row r="13" spans="1:10" s="55" customFormat="1" ht="54.75" customHeight="1" x14ac:dyDescent="0.25">
      <c r="A13" s="55" t="s">
        <v>114</v>
      </c>
      <c r="B13" s="56">
        <v>45207</v>
      </c>
      <c r="C13" s="55">
        <v>1567</v>
      </c>
      <c r="E13" s="64"/>
      <c r="F13" s="64">
        <v>300000</v>
      </c>
      <c r="G13" s="64">
        <f t="shared" si="0"/>
        <v>-369786</v>
      </c>
      <c r="H13" s="55" t="s">
        <v>160</v>
      </c>
      <c r="I13" s="58" t="s">
        <v>162</v>
      </c>
    </row>
    <row r="14" spans="1:10" s="55" customFormat="1" ht="54.75" customHeight="1" x14ac:dyDescent="0.25">
      <c r="A14" s="59" t="s">
        <v>114</v>
      </c>
      <c r="B14" s="60">
        <v>45207</v>
      </c>
      <c r="C14" s="59">
        <v>1568</v>
      </c>
      <c r="D14" s="59"/>
      <c r="E14" s="61"/>
      <c r="F14" s="61">
        <v>40000</v>
      </c>
      <c r="G14" s="61">
        <f t="shared" si="0"/>
        <v>-409786</v>
      </c>
      <c r="H14" s="59" t="s">
        <v>69</v>
      </c>
      <c r="I14" s="62" t="s">
        <v>77</v>
      </c>
      <c r="J14" s="59"/>
    </row>
    <row r="15" spans="1:10" s="55" customFormat="1" ht="54.75" customHeight="1" x14ac:dyDescent="0.25">
      <c r="A15" s="55" t="s">
        <v>113</v>
      </c>
      <c r="B15" s="56">
        <v>45207</v>
      </c>
      <c r="E15" s="64">
        <v>760</v>
      </c>
      <c r="F15" s="64"/>
      <c r="G15" s="64">
        <f t="shared" si="0"/>
        <v>-409026</v>
      </c>
      <c r="I15" s="58" t="s">
        <v>128</v>
      </c>
    </row>
    <row r="16" spans="1:10" s="55" customFormat="1" ht="54.75" customHeight="1" x14ac:dyDescent="0.25">
      <c r="A16" s="59" t="s">
        <v>114</v>
      </c>
      <c r="B16" s="60">
        <v>45207</v>
      </c>
      <c r="C16" s="59"/>
      <c r="D16" s="59">
        <v>1149</v>
      </c>
      <c r="E16" s="61">
        <v>1600000</v>
      </c>
      <c r="F16" s="61"/>
      <c r="G16" s="61">
        <f t="shared" si="0"/>
        <v>1190974</v>
      </c>
      <c r="H16" s="59" t="s">
        <v>99</v>
      </c>
      <c r="I16" s="62" t="s">
        <v>136</v>
      </c>
      <c r="J16" s="59"/>
    </row>
    <row r="17" spans="1:10" s="55" customFormat="1" ht="54.75" customHeight="1" x14ac:dyDescent="0.25">
      <c r="A17" s="55" t="s">
        <v>113</v>
      </c>
      <c r="B17" s="56">
        <v>45207</v>
      </c>
      <c r="D17" s="55">
        <v>1150</v>
      </c>
      <c r="E17" s="64">
        <v>65000</v>
      </c>
      <c r="F17" s="64"/>
      <c r="G17" s="64">
        <f t="shared" ref="G17:G22" si="1">+G16+E17-F17</f>
        <v>1255974</v>
      </c>
      <c r="H17" s="55" t="s">
        <v>134</v>
      </c>
      <c r="I17" s="58" t="s">
        <v>135</v>
      </c>
    </row>
    <row r="18" spans="1:10" s="55" customFormat="1" ht="54.75" customHeight="1" x14ac:dyDescent="0.25">
      <c r="A18" s="59" t="s">
        <v>113</v>
      </c>
      <c r="B18" s="60">
        <v>45207</v>
      </c>
      <c r="C18" s="59"/>
      <c r="D18" s="59">
        <v>1151</v>
      </c>
      <c r="E18" s="61">
        <v>79000</v>
      </c>
      <c r="F18" s="61"/>
      <c r="G18" s="61">
        <f t="shared" si="1"/>
        <v>1334974</v>
      </c>
      <c r="H18" s="59" t="s">
        <v>137</v>
      </c>
      <c r="I18" s="62" t="s">
        <v>138</v>
      </c>
      <c r="J18" s="59"/>
    </row>
    <row r="19" spans="1:10" s="55" customFormat="1" ht="54.75" customHeight="1" x14ac:dyDescent="0.25">
      <c r="A19" s="55" t="s">
        <v>114</v>
      </c>
      <c r="B19" s="56">
        <v>45207</v>
      </c>
      <c r="D19" s="55">
        <v>1152</v>
      </c>
      <c r="E19" s="64">
        <v>25000</v>
      </c>
      <c r="F19" s="64"/>
      <c r="G19" s="64">
        <f t="shared" si="1"/>
        <v>1359974</v>
      </c>
      <c r="H19" s="55" t="s">
        <v>139</v>
      </c>
      <c r="I19" s="58" t="s">
        <v>140</v>
      </c>
    </row>
    <row r="20" spans="1:10" s="55" customFormat="1" ht="54.75" customHeight="1" x14ac:dyDescent="0.25">
      <c r="A20" s="59" t="s">
        <v>114</v>
      </c>
      <c r="B20" s="60">
        <v>45207</v>
      </c>
      <c r="C20" s="59"/>
      <c r="D20" s="59">
        <v>1153</v>
      </c>
      <c r="E20" s="61">
        <v>15000</v>
      </c>
      <c r="F20" s="61"/>
      <c r="G20" s="61">
        <f t="shared" si="1"/>
        <v>1374974</v>
      </c>
      <c r="H20" s="59" t="s">
        <v>141</v>
      </c>
      <c r="I20" s="62" t="s">
        <v>142</v>
      </c>
      <c r="J20" s="59"/>
    </row>
    <row r="21" spans="1:10" s="55" customFormat="1" ht="54.75" customHeight="1" x14ac:dyDescent="0.25">
      <c r="A21" s="55" t="s">
        <v>114</v>
      </c>
      <c r="B21" s="56">
        <v>45207</v>
      </c>
      <c r="D21" s="55">
        <v>1154</v>
      </c>
      <c r="E21" s="64">
        <v>300000</v>
      </c>
      <c r="F21" s="64"/>
      <c r="G21" s="64">
        <f t="shared" si="1"/>
        <v>1674974</v>
      </c>
      <c r="H21" s="55" t="s">
        <v>143</v>
      </c>
      <c r="I21" s="58" t="s">
        <v>144</v>
      </c>
    </row>
    <row r="22" spans="1:10" s="55" customFormat="1" ht="54.75" customHeight="1" x14ac:dyDescent="0.25">
      <c r="A22" s="59" t="s">
        <v>114</v>
      </c>
      <c r="B22" s="60">
        <v>45207</v>
      </c>
      <c r="C22" s="59"/>
      <c r="D22" s="59">
        <v>1155</v>
      </c>
      <c r="E22" s="61">
        <v>200000</v>
      </c>
      <c r="F22" s="61"/>
      <c r="G22" s="61">
        <f t="shared" si="1"/>
        <v>1874974</v>
      </c>
      <c r="H22" s="59" t="s">
        <v>146</v>
      </c>
      <c r="I22" s="62" t="s">
        <v>147</v>
      </c>
      <c r="J22" s="59"/>
    </row>
    <row r="23" spans="1:10" s="55" customFormat="1" ht="54.75" customHeight="1" x14ac:dyDescent="0.25">
      <c r="B23" s="56">
        <v>45207</v>
      </c>
      <c r="E23" s="64"/>
      <c r="F23" s="64"/>
      <c r="G23" s="64">
        <f>+G22+E23-F23</f>
        <v>1874974</v>
      </c>
      <c r="I23" s="58"/>
    </row>
    <row r="24" spans="1:10" ht="32.25" customHeight="1" x14ac:dyDescent="0.25">
      <c r="B24" s="29"/>
      <c r="E24" s="31"/>
      <c r="F24" s="31"/>
      <c r="G24" s="31"/>
      <c r="I24" s="32"/>
    </row>
    <row r="25" spans="1:10" ht="32.25" customHeight="1" thickBot="1" x14ac:dyDescent="0.3">
      <c r="B25" s="29"/>
      <c r="E25" s="31"/>
      <c r="F25" s="31"/>
      <c r="G25" s="31"/>
      <c r="I25" s="32"/>
    </row>
    <row r="26" spans="1:10" s="33" customFormat="1" ht="72.75" customHeight="1" thickTop="1" x14ac:dyDescent="0.25">
      <c r="B26" s="74" t="s">
        <v>127</v>
      </c>
      <c r="C26" s="75" t="s">
        <v>115</v>
      </c>
      <c r="D26" s="75" t="s">
        <v>116</v>
      </c>
      <c r="E26" s="76" t="s">
        <v>125</v>
      </c>
      <c r="F26" s="77" t="s">
        <v>126</v>
      </c>
      <c r="G26" s="54"/>
      <c r="H26" s="78" t="s">
        <v>133</v>
      </c>
      <c r="I26" s="79" t="s">
        <v>130</v>
      </c>
      <c r="J26" s="80" t="s">
        <v>131</v>
      </c>
    </row>
    <row r="27" spans="1:10" s="65" customFormat="1" ht="81.75" customHeight="1" thickBot="1" x14ac:dyDescent="0.3">
      <c r="B27" s="66">
        <v>178551</v>
      </c>
      <c r="C27" s="67">
        <f>SUMIF(A3:A25,A4,E3:E25)</f>
        <v>155410</v>
      </c>
      <c r="D27" s="67">
        <f>SUMIF(A2:A25,A13,E2:E25)</f>
        <v>2140000</v>
      </c>
      <c r="E27" s="67">
        <f>SUM(F2:F23)</f>
        <v>598987</v>
      </c>
      <c r="F27" s="68">
        <f>+B27+C27+D27-E27</f>
        <v>1874974</v>
      </c>
      <c r="G27" s="69"/>
      <c r="H27" s="70">
        <f>+E18+E17+E3+G2+E15</f>
        <v>333961</v>
      </c>
      <c r="I27" s="71">
        <f>+F12+F11+F10+F9+F8+F7+F6+F5+F4</f>
        <v>258987</v>
      </c>
      <c r="J27" s="72">
        <f>+H27-I27</f>
        <v>74974</v>
      </c>
    </row>
    <row r="28" spans="1:10" ht="60.75" customHeight="1" thickTop="1" x14ac:dyDescent="0.25">
      <c r="D28" s="197">
        <f>+D27-340000</f>
        <v>1800000</v>
      </c>
      <c r="F28" s="31"/>
      <c r="G28" s="31"/>
      <c r="H28" s="65"/>
      <c r="I28" s="73"/>
    </row>
    <row r="29" spans="1:10" ht="60.75" customHeight="1" x14ac:dyDescent="0.25">
      <c r="D29" s="31"/>
      <c r="E29" s="53"/>
      <c r="F29" s="31"/>
      <c r="G29" s="31"/>
    </row>
    <row r="30" spans="1:10" ht="32.25" customHeight="1" x14ac:dyDescent="0.25">
      <c r="E30" s="31"/>
      <c r="F30" s="31"/>
      <c r="G30" s="31"/>
    </row>
    <row r="31" spans="1:10" ht="32.25" customHeight="1" x14ac:dyDescent="0.25">
      <c r="E31" s="31"/>
      <c r="F31" s="31"/>
      <c r="G31" s="31"/>
    </row>
    <row r="32" spans="1:10" ht="32.25" customHeight="1" x14ac:dyDescent="0.25">
      <c r="E32" s="31"/>
      <c r="F32" s="31"/>
      <c r="G32" s="31"/>
    </row>
    <row r="33" spans="5:7" ht="32.25" customHeight="1" x14ac:dyDescent="0.25">
      <c r="E33" s="31"/>
      <c r="F33" s="31"/>
      <c r="G33" s="31"/>
    </row>
    <row r="34" spans="5:7" ht="32.25" customHeight="1" x14ac:dyDescent="0.25">
      <c r="E34" s="31"/>
      <c r="F34" s="31"/>
      <c r="G34" s="31"/>
    </row>
    <row r="35" spans="5:7" ht="32.25" customHeight="1" x14ac:dyDescent="0.25">
      <c r="E35" s="31"/>
      <c r="F35" s="31"/>
      <c r="G35" s="31"/>
    </row>
    <row r="36" spans="5:7" ht="32.25" customHeight="1" x14ac:dyDescent="0.25">
      <c r="E36" s="31"/>
      <c r="F36" s="31"/>
      <c r="G36" s="31"/>
    </row>
    <row r="37" spans="5:7" ht="32.25" customHeight="1" x14ac:dyDescent="0.25">
      <c r="E37" s="31"/>
      <c r="F37" s="31"/>
      <c r="G37" s="31"/>
    </row>
    <row r="38" spans="5:7" ht="32.25" customHeight="1" x14ac:dyDescent="0.25">
      <c r="E38" s="31"/>
      <c r="F38" s="31"/>
      <c r="G38" s="31"/>
    </row>
    <row r="39" spans="5:7" ht="32.25" customHeight="1" x14ac:dyDescent="0.25">
      <c r="E39" s="31"/>
      <c r="F39" s="31"/>
      <c r="G39" s="31"/>
    </row>
    <row r="40" spans="5:7" ht="32.25" customHeight="1" x14ac:dyDescent="0.25">
      <c r="E40" s="31"/>
      <c r="F40" s="31"/>
      <c r="G40" s="31"/>
    </row>
    <row r="41" spans="5:7" ht="32.25" customHeight="1" x14ac:dyDescent="0.25">
      <c r="E41" s="31"/>
      <c r="F41" s="31"/>
      <c r="G41" s="31"/>
    </row>
    <row r="42" spans="5:7" ht="32.25" customHeight="1" x14ac:dyDescent="0.25">
      <c r="E42" s="31"/>
      <c r="F42" s="31"/>
      <c r="G42" s="31"/>
    </row>
    <row r="43" spans="5:7" ht="32.25" customHeight="1" x14ac:dyDescent="0.25">
      <c r="E43" s="31"/>
      <c r="F43" s="31"/>
      <c r="G43" s="31"/>
    </row>
    <row r="44" spans="5:7" ht="32.25" customHeight="1" x14ac:dyDescent="0.25">
      <c r="E44" s="31"/>
      <c r="F44" s="31"/>
      <c r="G44" s="31"/>
    </row>
    <row r="45" spans="5:7" ht="32.25" customHeight="1" x14ac:dyDescent="0.25">
      <c r="E45" s="31"/>
      <c r="F45" s="31"/>
      <c r="G45" s="31"/>
    </row>
    <row r="46" spans="5:7" ht="32.25" customHeight="1" x14ac:dyDescent="0.25">
      <c r="E46" s="31"/>
      <c r="F46" s="31"/>
      <c r="G46" s="31"/>
    </row>
    <row r="47" spans="5:7" ht="32.25" customHeight="1" x14ac:dyDescent="0.25">
      <c r="E47" s="31"/>
      <c r="F47" s="31"/>
      <c r="G47" s="31"/>
    </row>
    <row r="48" spans="5:7" ht="32.25" customHeight="1" x14ac:dyDescent="0.25">
      <c r="E48" s="31"/>
      <c r="F48" s="31"/>
      <c r="G48" s="31"/>
    </row>
    <row r="49" spans="5:7" ht="32.25" customHeight="1" x14ac:dyDescent="0.25">
      <c r="E49" s="31"/>
      <c r="F49" s="31"/>
      <c r="G49" s="31"/>
    </row>
    <row r="50" spans="5:7" ht="32.25" customHeight="1" x14ac:dyDescent="0.25">
      <c r="E50" s="31"/>
      <c r="F50" s="31"/>
      <c r="G50" s="31"/>
    </row>
    <row r="51" spans="5:7" ht="32.25" customHeight="1" x14ac:dyDescent="0.25">
      <c r="E51" s="31"/>
      <c r="F51" s="31"/>
      <c r="G51" s="31"/>
    </row>
    <row r="52" spans="5:7" ht="32.25" customHeight="1" x14ac:dyDescent="0.25">
      <c r="E52" s="31"/>
      <c r="F52" s="31"/>
      <c r="G52" s="31"/>
    </row>
    <row r="53" spans="5:7" ht="32.25" customHeight="1" x14ac:dyDescent="0.25">
      <c r="E53" s="31"/>
      <c r="F53" s="31"/>
      <c r="G53" s="31"/>
    </row>
    <row r="54" spans="5:7" ht="32.25" customHeight="1" x14ac:dyDescent="0.25">
      <c r="E54" s="31"/>
      <c r="F54" s="31"/>
      <c r="G54" s="31"/>
    </row>
    <row r="55" spans="5:7" ht="32.25" customHeight="1" x14ac:dyDescent="0.25">
      <c r="E55" s="31"/>
      <c r="F55" s="31"/>
      <c r="G55" s="31"/>
    </row>
    <row r="56" spans="5:7" ht="32.25" customHeight="1" x14ac:dyDescent="0.25">
      <c r="E56" s="31"/>
      <c r="F56" s="31"/>
      <c r="G56" s="31"/>
    </row>
    <row r="57" spans="5:7" ht="32.25" customHeight="1" x14ac:dyDescent="0.25">
      <c r="E57" s="31"/>
      <c r="F57" s="31"/>
      <c r="G57" s="31"/>
    </row>
    <row r="58" spans="5:7" ht="32.25" customHeight="1" x14ac:dyDescent="0.25"/>
    <row r="59" spans="5:7" ht="32.25" customHeight="1" x14ac:dyDescent="0.25"/>
  </sheetData>
  <conditionalFormatting sqref="A1:A1048576">
    <cfRule type="cellIs" dxfId="224" priority="1" operator="equal">
      <formula>$A$15</formula>
    </cfRule>
  </conditionalFormatting>
  <conditionalFormatting sqref="C1:D1">
    <cfRule type="duplicateValues" dxfId="223" priority="2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J31"/>
  <sheetViews>
    <sheetView rightToLeft="1" view="pageBreakPreview" zoomScale="10" zoomScaleNormal="10" zoomScaleSheetLayoutView="10" workbookViewId="0">
      <pane ySplit="2" topLeftCell="A3" activePane="bottomLeft" state="frozen"/>
      <selection activeCell="A2" sqref="A2"/>
      <selection pane="bottomLeft" activeCell="A4" sqref="A4:I15"/>
    </sheetView>
  </sheetViews>
  <sheetFormatPr defaultColWidth="42.85546875" defaultRowHeight="258.75" customHeight="1" x14ac:dyDescent="0.55000000000000004"/>
  <cols>
    <col min="1" max="1" width="69.7109375" style="334" customWidth="1"/>
    <col min="2" max="2" width="120.140625" style="334" bestFit="1" customWidth="1"/>
    <col min="3" max="3" width="133.8554687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61.42578125" style="334" customWidth="1"/>
    <col min="9" max="9" width="254.42578125" style="334" customWidth="1"/>
    <col min="10" max="10" width="113" style="334" customWidth="1"/>
    <col min="11" max="16384" width="42.85546875" style="334"/>
  </cols>
  <sheetData>
    <row r="1" spans="1:10" ht="258.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198.75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371.25" customHeight="1" x14ac:dyDescent="0.9">
      <c r="A3" s="262"/>
      <c r="B3" s="263"/>
      <c r="C3" s="262"/>
      <c r="D3" s="262"/>
      <c r="E3" s="264"/>
      <c r="F3" s="264"/>
      <c r="G3" s="265">
        <v>86526</v>
      </c>
      <c r="H3" s="265" t="s">
        <v>129</v>
      </c>
      <c r="I3" s="262"/>
      <c r="J3" s="262"/>
    </row>
    <row r="4" spans="1:10" s="250" customFormat="1" ht="309" customHeight="1" x14ac:dyDescent="1.35">
      <c r="A4" s="462" t="s">
        <v>113</v>
      </c>
      <c r="B4" s="463">
        <v>45248</v>
      </c>
      <c r="C4" s="462"/>
      <c r="D4" s="464"/>
      <c r="E4" s="465">
        <v>1100</v>
      </c>
      <c r="F4" s="283"/>
      <c r="G4" s="466">
        <f>G3+E4-F4</f>
        <v>87626</v>
      </c>
      <c r="H4" s="466" t="s">
        <v>72</v>
      </c>
      <c r="I4" s="467" t="s">
        <v>789</v>
      </c>
      <c r="J4" s="426"/>
    </row>
    <row r="5" spans="1:10" s="250" customFormat="1" ht="309" customHeight="1" x14ac:dyDescent="1.35">
      <c r="A5" s="426" t="s">
        <v>113</v>
      </c>
      <c r="B5" s="427">
        <v>45248</v>
      </c>
      <c r="C5" s="426"/>
      <c r="D5" s="454"/>
      <c r="E5" s="455">
        <v>2682</v>
      </c>
      <c r="F5" s="428"/>
      <c r="G5" s="429">
        <f>G4+E5-F5</f>
        <v>90308</v>
      </c>
      <c r="H5" s="429" t="s">
        <v>790</v>
      </c>
      <c r="I5" s="450"/>
      <c r="J5" s="426"/>
    </row>
    <row r="6" spans="1:10" s="250" customFormat="1" ht="309" customHeight="1" x14ac:dyDescent="1.35">
      <c r="A6" s="462" t="s">
        <v>113</v>
      </c>
      <c r="B6" s="463"/>
      <c r="C6" s="462"/>
      <c r="D6" s="464">
        <v>1275</v>
      </c>
      <c r="E6" s="465">
        <v>15000</v>
      </c>
      <c r="F6" s="283"/>
      <c r="G6" s="466">
        <f t="shared" ref="G6:G15" si="0">G5+E6-F6</f>
        <v>105308</v>
      </c>
      <c r="H6" s="466" t="s">
        <v>141</v>
      </c>
      <c r="I6" s="467" t="s">
        <v>795</v>
      </c>
      <c r="J6" s="426"/>
    </row>
    <row r="7" spans="1:10" s="250" customFormat="1" ht="309" customHeight="1" x14ac:dyDescent="1.35">
      <c r="A7" s="426" t="s">
        <v>113</v>
      </c>
      <c r="B7" s="427">
        <v>45248</v>
      </c>
      <c r="C7" s="426">
        <v>1850</v>
      </c>
      <c r="D7" s="454"/>
      <c r="E7" s="455"/>
      <c r="F7" s="428">
        <v>50000</v>
      </c>
      <c r="G7" s="429">
        <f t="shared" si="0"/>
        <v>55308</v>
      </c>
      <c r="H7" s="429" t="s">
        <v>315</v>
      </c>
      <c r="I7" s="450" t="s">
        <v>316</v>
      </c>
      <c r="J7" s="426"/>
    </row>
    <row r="8" spans="1:10" s="250" customFormat="1" ht="309" customHeight="1" x14ac:dyDescent="1.35">
      <c r="A8" s="462" t="s">
        <v>113</v>
      </c>
      <c r="B8" s="463">
        <v>45248</v>
      </c>
      <c r="C8" s="462">
        <v>1851</v>
      </c>
      <c r="D8" s="464"/>
      <c r="E8" s="465"/>
      <c r="F8" s="283">
        <v>4385</v>
      </c>
      <c r="G8" s="466">
        <f t="shared" si="0"/>
        <v>50923</v>
      </c>
      <c r="H8" s="466" t="s">
        <v>470</v>
      </c>
      <c r="I8" s="467" t="s">
        <v>791</v>
      </c>
      <c r="J8" s="426"/>
    </row>
    <row r="9" spans="1:10" s="250" customFormat="1" ht="309" customHeight="1" x14ac:dyDescent="1.35">
      <c r="A9" s="426" t="s">
        <v>113</v>
      </c>
      <c r="B9" s="427">
        <v>45248</v>
      </c>
      <c r="C9" s="426">
        <v>1852</v>
      </c>
      <c r="D9" s="454"/>
      <c r="E9" s="455"/>
      <c r="F9" s="428">
        <v>7400</v>
      </c>
      <c r="G9" s="429">
        <f t="shared" si="0"/>
        <v>43523</v>
      </c>
      <c r="H9" s="429" t="s">
        <v>792</v>
      </c>
      <c r="I9" s="450" t="s">
        <v>793</v>
      </c>
      <c r="J9" s="426"/>
    </row>
    <row r="10" spans="1:10" s="250" customFormat="1" ht="309" customHeight="1" x14ac:dyDescent="1.35">
      <c r="A10" s="462" t="s">
        <v>113</v>
      </c>
      <c r="B10" s="463">
        <v>45248</v>
      </c>
      <c r="C10" s="462">
        <v>1853</v>
      </c>
      <c r="D10" s="464"/>
      <c r="E10" s="465"/>
      <c r="F10" s="283">
        <v>1000</v>
      </c>
      <c r="G10" s="466">
        <f t="shared" si="0"/>
        <v>42523</v>
      </c>
      <c r="H10" s="466" t="s">
        <v>392</v>
      </c>
      <c r="I10" s="467" t="s">
        <v>224</v>
      </c>
      <c r="J10" s="426"/>
    </row>
    <row r="11" spans="1:10" s="250" customFormat="1" ht="309" customHeight="1" x14ac:dyDescent="1.35">
      <c r="A11" s="426" t="s">
        <v>113</v>
      </c>
      <c r="B11" s="427">
        <v>45248</v>
      </c>
      <c r="C11" s="426">
        <v>1854</v>
      </c>
      <c r="D11" s="454"/>
      <c r="E11" s="455"/>
      <c r="F11" s="428">
        <v>8000</v>
      </c>
      <c r="G11" s="429">
        <f t="shared" si="0"/>
        <v>34523</v>
      </c>
      <c r="H11" s="429" t="s">
        <v>72</v>
      </c>
      <c r="I11" s="450" t="s">
        <v>794</v>
      </c>
      <c r="J11" s="426"/>
    </row>
    <row r="12" spans="1:10" s="250" customFormat="1" ht="309" customHeight="1" x14ac:dyDescent="1.35">
      <c r="A12" s="462" t="s">
        <v>113</v>
      </c>
      <c r="B12" s="463">
        <v>45248</v>
      </c>
      <c r="C12" s="462">
        <v>1855</v>
      </c>
      <c r="D12" s="464"/>
      <c r="E12" s="465"/>
      <c r="F12" s="283">
        <v>3316</v>
      </c>
      <c r="G12" s="466">
        <f t="shared" si="0"/>
        <v>31207</v>
      </c>
      <c r="H12" s="466" t="s">
        <v>72</v>
      </c>
      <c r="I12" s="467" t="s">
        <v>796</v>
      </c>
      <c r="J12" s="426"/>
    </row>
    <row r="13" spans="1:10" s="250" customFormat="1" ht="309" customHeight="1" x14ac:dyDescent="1.35">
      <c r="A13" s="426" t="s">
        <v>113</v>
      </c>
      <c r="B13" s="427">
        <v>45248</v>
      </c>
      <c r="C13" s="426"/>
      <c r="D13" s="454"/>
      <c r="E13" s="455"/>
      <c r="F13" s="428"/>
      <c r="G13" s="429">
        <f t="shared" si="0"/>
        <v>31207</v>
      </c>
      <c r="H13" s="429"/>
      <c r="I13" s="450"/>
      <c r="J13" s="426"/>
    </row>
    <row r="14" spans="1:10" s="458" customFormat="1" ht="309" customHeight="1" x14ac:dyDescent="1.35">
      <c r="A14" s="441" t="s">
        <v>113</v>
      </c>
      <c r="B14" s="442">
        <v>45248</v>
      </c>
      <c r="C14" s="441"/>
      <c r="D14" s="456"/>
      <c r="E14" s="457"/>
      <c r="F14" s="443">
        <v>222</v>
      </c>
      <c r="G14" s="466">
        <f t="shared" si="0"/>
        <v>30985</v>
      </c>
      <c r="H14" s="444" t="s">
        <v>788</v>
      </c>
      <c r="I14" s="459"/>
      <c r="J14" s="441"/>
    </row>
    <row r="15" spans="1:10" s="458" customFormat="1" ht="309" customHeight="1" x14ac:dyDescent="1.35">
      <c r="A15" s="441" t="s">
        <v>113</v>
      </c>
      <c r="B15" s="442">
        <v>45248</v>
      </c>
      <c r="C15" s="441"/>
      <c r="D15" s="456"/>
      <c r="E15" s="457"/>
      <c r="F15" s="468">
        <v>200</v>
      </c>
      <c r="G15" s="466">
        <f t="shared" si="0"/>
        <v>30785</v>
      </c>
      <c r="H15" s="444" t="s">
        <v>336</v>
      </c>
      <c r="I15" s="459" t="s">
        <v>788</v>
      </c>
      <c r="J15" s="441"/>
    </row>
    <row r="16" spans="1:10" ht="116.25" customHeight="1" thickBot="1" x14ac:dyDescent="0.6">
      <c r="A16" s="386"/>
      <c r="B16" s="398"/>
      <c r="C16" s="386"/>
      <c r="D16" s="386"/>
      <c r="E16" s="390"/>
      <c r="F16" s="388"/>
      <c r="G16" s="389"/>
      <c r="H16" s="391"/>
      <c r="I16" s="386"/>
      <c r="J16" s="386"/>
    </row>
    <row r="17" spans="1:10" s="250" customFormat="1" ht="236.25" customHeight="1" thickTop="1" x14ac:dyDescent="1.35">
      <c r="A17" s="270"/>
      <c r="B17" s="136" t="s">
        <v>127</v>
      </c>
      <c r="C17" s="137" t="s">
        <v>115</v>
      </c>
      <c r="D17" s="137" t="s">
        <v>179</v>
      </c>
      <c r="E17" s="137" t="s">
        <v>116</v>
      </c>
      <c r="F17" s="138" t="s">
        <v>180</v>
      </c>
      <c r="G17" s="139" t="s">
        <v>211</v>
      </c>
      <c r="H17" s="271"/>
      <c r="I17" s="447"/>
      <c r="J17" s="150"/>
    </row>
    <row r="18" spans="1:10" ht="213.75" customHeight="1" thickBot="1" x14ac:dyDescent="0.6">
      <c r="A18" s="161"/>
      <c r="B18" s="140">
        <f>$G$3</f>
        <v>86526</v>
      </c>
      <c r="C18" s="141">
        <f>SUMIF(A4:A15,B1,E4:E$15)</f>
        <v>18782</v>
      </c>
      <c r="D18" s="141">
        <f>SUMIF(A4:A15,B1,F4:$F$15)</f>
        <v>74523</v>
      </c>
      <c r="E18" s="141">
        <f>SUMIF(A3:A15,A1,E3:$E$15)</f>
        <v>0</v>
      </c>
      <c r="F18" s="141">
        <f>SUMIF(A3:A15,A1,F3:$F$15)</f>
        <v>0</v>
      </c>
      <c r="G18" s="142">
        <f>+B18+C18+E18-D18-F18</f>
        <v>30785</v>
      </c>
      <c r="H18" s="164"/>
      <c r="I18" s="180"/>
      <c r="J18" s="180"/>
    </row>
    <row r="19" spans="1:10" ht="408.75" customHeight="1" thickTop="1" x14ac:dyDescent="0.55000000000000004">
      <c r="A19" s="161"/>
      <c r="B19" s="262"/>
      <c r="C19" s="259">
        <f>+B18+C18-D18</f>
        <v>30785</v>
      </c>
      <c r="D19" s="566" t="s">
        <v>181</v>
      </c>
      <c r="E19" s="566"/>
      <c r="F19" s="566"/>
      <c r="G19" s="264"/>
      <c r="H19" s="164"/>
      <c r="I19" s="161"/>
      <c r="J19" s="161"/>
    </row>
    <row r="20" spans="1:10" s="250" customFormat="1" ht="146.25" customHeight="1" x14ac:dyDescent="1.35">
      <c r="A20" s="262"/>
      <c r="B20" s="262"/>
      <c r="C20" s="273"/>
      <c r="D20" s="567" t="s">
        <v>278</v>
      </c>
      <c r="E20" s="567"/>
      <c r="F20" s="567"/>
      <c r="G20" s="264"/>
      <c r="H20" s="272"/>
      <c r="I20" s="262"/>
      <c r="J20" s="262"/>
    </row>
    <row r="21" spans="1:10" s="250" customFormat="1" ht="258.75" customHeight="1" x14ac:dyDescent="1.35">
      <c r="A21" s="262"/>
      <c r="B21" s="262"/>
      <c r="C21" s="273"/>
      <c r="D21" s="274" t="s">
        <v>279</v>
      </c>
      <c r="E21" s="274" t="s">
        <v>280</v>
      </c>
      <c r="F21" s="274" t="s">
        <v>281</v>
      </c>
      <c r="G21" s="264"/>
      <c r="H21" s="272"/>
      <c r="I21" s="262"/>
      <c r="J21" s="262"/>
    </row>
    <row r="22" spans="1:10" ht="258.75" customHeight="1" x14ac:dyDescent="0.55000000000000004">
      <c r="A22" s="161"/>
      <c r="B22" s="161"/>
      <c r="C22" s="161"/>
      <c r="D22" s="275">
        <v>63</v>
      </c>
      <c r="E22" s="276">
        <v>200</v>
      </c>
      <c r="F22" s="276">
        <f>+E22*D22</f>
        <v>12600</v>
      </c>
      <c r="G22" s="163"/>
      <c r="H22" s="164"/>
      <c r="I22" s="161"/>
      <c r="J22" s="161"/>
    </row>
    <row r="23" spans="1:10" ht="251.25" customHeight="1" x14ac:dyDescent="0.55000000000000004">
      <c r="A23" s="161"/>
      <c r="B23" s="161"/>
      <c r="C23" s="161"/>
      <c r="D23" s="275">
        <v>9</v>
      </c>
      <c r="E23" s="276">
        <v>100</v>
      </c>
      <c r="F23" s="276">
        <f t="shared" ref="F23:F28" si="1">+E23*D23</f>
        <v>900</v>
      </c>
      <c r="G23" s="163"/>
      <c r="H23" s="164"/>
      <c r="I23" s="161"/>
      <c r="J23" s="161"/>
    </row>
    <row r="24" spans="1:10" ht="258.75" customHeight="1" x14ac:dyDescent="0.55000000000000004">
      <c r="A24" s="161"/>
      <c r="B24" s="161"/>
      <c r="C24" s="161"/>
      <c r="D24" s="275">
        <v>339</v>
      </c>
      <c r="E24" s="276">
        <v>50</v>
      </c>
      <c r="F24" s="276">
        <f t="shared" si="1"/>
        <v>16950</v>
      </c>
      <c r="G24" s="163"/>
      <c r="H24" s="164"/>
      <c r="I24" s="161"/>
      <c r="J24" s="161"/>
    </row>
    <row r="25" spans="1:10" ht="213.75" customHeight="1" x14ac:dyDescent="0.55000000000000004">
      <c r="A25" s="161"/>
      <c r="B25" s="161"/>
      <c r="C25" s="161"/>
      <c r="D25" s="275">
        <v>4</v>
      </c>
      <c r="E25" s="276">
        <v>20</v>
      </c>
      <c r="F25" s="276">
        <f t="shared" si="1"/>
        <v>80</v>
      </c>
      <c r="G25" s="163"/>
      <c r="H25" s="164"/>
      <c r="I25" s="161"/>
      <c r="J25" s="161"/>
    </row>
    <row r="26" spans="1:10" ht="258.75" customHeight="1" x14ac:dyDescent="0.55000000000000004">
      <c r="A26" s="161"/>
      <c r="B26" s="161"/>
      <c r="C26" s="161"/>
      <c r="D26" s="275">
        <v>16</v>
      </c>
      <c r="E26" s="276">
        <v>10</v>
      </c>
      <c r="F26" s="276">
        <f t="shared" si="1"/>
        <v>160</v>
      </c>
      <c r="G26" s="163"/>
      <c r="H26" s="164"/>
      <c r="I26" s="161"/>
      <c r="J26" s="161"/>
    </row>
    <row r="27" spans="1:10" ht="258.75" customHeight="1" x14ac:dyDescent="0.55000000000000004">
      <c r="A27" s="161"/>
      <c r="B27" s="161"/>
      <c r="C27" s="161"/>
      <c r="D27" s="275">
        <v>17</v>
      </c>
      <c r="E27" s="276">
        <v>5</v>
      </c>
      <c r="F27" s="276">
        <f t="shared" si="1"/>
        <v>85</v>
      </c>
      <c r="G27" s="163"/>
      <c r="H27" s="164"/>
      <c r="I27" s="161"/>
      <c r="J27" s="161"/>
    </row>
    <row r="28" spans="1:10" ht="258.75" customHeight="1" thickBot="1" x14ac:dyDescent="0.6">
      <c r="A28" s="161"/>
      <c r="B28" s="161"/>
      <c r="C28" s="161"/>
      <c r="D28" s="275">
        <v>10</v>
      </c>
      <c r="E28" s="276">
        <v>1</v>
      </c>
      <c r="F28" s="276">
        <f t="shared" si="1"/>
        <v>10</v>
      </c>
      <c r="G28" s="163"/>
      <c r="H28" s="164"/>
      <c r="I28" s="161"/>
      <c r="J28" s="161"/>
    </row>
    <row r="29" spans="1:10" s="250" customFormat="1" ht="213.75" customHeight="1" x14ac:dyDescent="1.35">
      <c r="A29" s="262"/>
      <c r="B29" s="262"/>
      <c r="C29" s="262"/>
      <c r="D29" s="572" t="s">
        <v>283</v>
      </c>
      <c r="E29" s="573"/>
      <c r="F29" s="281">
        <f>SUM(F22:F28)</f>
        <v>30785</v>
      </c>
      <c r="G29" s="264"/>
      <c r="H29" s="272"/>
      <c r="I29" s="262"/>
      <c r="J29" s="262"/>
    </row>
    <row r="30" spans="1:10" s="250" customFormat="1" ht="225.75" customHeight="1" x14ac:dyDescent="1.35">
      <c r="A30" s="262"/>
      <c r="B30" s="262"/>
      <c r="C30" s="262"/>
      <c r="D30" s="574" t="s">
        <v>282</v>
      </c>
      <c r="E30" s="575"/>
      <c r="F30" s="284">
        <f>C19</f>
        <v>30785</v>
      </c>
      <c r="G30" s="264"/>
      <c r="H30" s="272"/>
      <c r="I30" s="262"/>
      <c r="J30" s="262"/>
    </row>
    <row r="31" spans="1:10" s="250" customFormat="1" ht="258.75" customHeight="1" thickBot="1" x14ac:dyDescent="1.4">
      <c r="A31" s="262"/>
      <c r="B31" s="262"/>
      <c r="C31" s="262"/>
      <c r="D31" s="576" t="s">
        <v>284</v>
      </c>
      <c r="E31" s="577"/>
      <c r="F31" s="287">
        <f>+F29-F30</f>
        <v>0</v>
      </c>
      <c r="G31" s="264"/>
      <c r="H31" s="272"/>
      <c r="I31" s="262"/>
      <c r="J31" s="262"/>
    </row>
  </sheetData>
  <mergeCells count="5">
    <mergeCell ref="D19:F19"/>
    <mergeCell ref="D20:F20"/>
    <mergeCell ref="D29:E29"/>
    <mergeCell ref="D30:E30"/>
    <mergeCell ref="D31:E31"/>
  </mergeCells>
  <conditionalFormatting sqref="A1">
    <cfRule type="cellIs" dxfId="23" priority="6" operator="equal">
      <formula>#REF!</formula>
    </cfRule>
  </conditionalFormatting>
  <conditionalFormatting sqref="A2:A5 A14:A22 A29:A31">
    <cfRule type="cellIs" dxfId="22" priority="8" operator="equal">
      <formula>#REF!</formula>
    </cfRule>
  </conditionalFormatting>
  <conditionalFormatting sqref="A6:A13">
    <cfRule type="cellIs" dxfId="21" priority="1" operator="equal">
      <formula>#REF!</formula>
    </cfRule>
  </conditionalFormatting>
  <conditionalFormatting sqref="A23:A28">
    <cfRule type="cellIs" dxfId="20" priority="4" operator="equal">
      <formula>#REF!</formula>
    </cfRule>
  </conditionalFormatting>
  <conditionalFormatting sqref="B1">
    <cfRule type="cellIs" dxfId="19" priority="5" operator="equal">
      <formula>#REF!</formula>
    </cfRule>
  </conditionalFormatting>
  <conditionalFormatting sqref="C2:D2">
    <cfRule type="duplicateValues" dxfId="18" priority="7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1" manualBreakCount="1">
    <brk id="19" max="8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J37"/>
  <sheetViews>
    <sheetView rightToLeft="1" view="pageBreakPreview" zoomScale="10" zoomScaleNormal="10" zoomScaleSheetLayoutView="10" workbookViewId="0">
      <pane ySplit="2" topLeftCell="A3" activePane="bottomLeft" state="frozen"/>
      <selection activeCell="A2" sqref="A2"/>
      <selection pane="bottomLeft" activeCell="A4" sqref="A4:I21"/>
    </sheetView>
  </sheetViews>
  <sheetFormatPr defaultColWidth="42.85546875" defaultRowHeight="258.75" customHeight="1" x14ac:dyDescent="0.55000000000000004"/>
  <cols>
    <col min="1" max="1" width="69.7109375" style="334" customWidth="1"/>
    <col min="2" max="2" width="120.140625" style="334" bestFit="1" customWidth="1"/>
    <col min="3" max="3" width="133.85546875" style="334" bestFit="1" customWidth="1"/>
    <col min="4" max="4" width="121.7109375" style="334" bestFit="1" customWidth="1"/>
    <col min="5" max="5" width="112.28515625" style="334" customWidth="1"/>
    <col min="6" max="6" width="131.5703125" style="334" customWidth="1"/>
    <col min="7" max="7" width="133.85546875" style="334" bestFit="1" customWidth="1"/>
    <col min="8" max="8" width="161.42578125" style="334" customWidth="1"/>
    <col min="9" max="9" width="254.42578125" style="334" customWidth="1"/>
    <col min="10" max="10" width="113" style="334" customWidth="1"/>
    <col min="11" max="16384" width="42.85546875" style="334"/>
  </cols>
  <sheetData>
    <row r="1" spans="1:10" ht="258.75" hidden="1" customHeight="1" thickBot="1" x14ac:dyDescent="0.75">
      <c r="A1" s="299" t="s">
        <v>114</v>
      </c>
      <c r="B1" s="199" t="s">
        <v>113</v>
      </c>
      <c r="C1" s="153"/>
      <c r="D1" s="153"/>
      <c r="E1" s="153"/>
      <c r="F1" s="153"/>
      <c r="G1" s="153"/>
      <c r="H1" s="153"/>
      <c r="I1" s="153"/>
      <c r="J1" s="153"/>
    </row>
    <row r="2" spans="1:10" s="440" customFormat="1" ht="198.75" customHeight="1" thickBot="1" x14ac:dyDescent="1.55">
      <c r="A2" s="436" t="s">
        <v>132</v>
      </c>
      <c r="B2" s="437" t="s">
        <v>1</v>
      </c>
      <c r="C2" s="438" t="s">
        <v>86</v>
      </c>
      <c r="D2" s="438" t="s">
        <v>163</v>
      </c>
      <c r="E2" s="439" t="s">
        <v>2</v>
      </c>
      <c r="F2" s="439" t="s">
        <v>3</v>
      </c>
      <c r="G2" s="439" t="s">
        <v>4</v>
      </c>
      <c r="H2" s="438" t="s">
        <v>92</v>
      </c>
      <c r="I2" s="438" t="s">
        <v>6</v>
      </c>
      <c r="J2" s="438" t="s">
        <v>7</v>
      </c>
    </row>
    <row r="3" spans="1:10" s="218" customFormat="1" ht="371.25" customHeight="1" x14ac:dyDescent="0.9">
      <c r="A3" s="262"/>
      <c r="B3" s="263"/>
      <c r="C3" s="262"/>
      <c r="D3" s="262"/>
      <c r="E3" s="264"/>
      <c r="F3" s="264"/>
      <c r="G3" s="265">
        <v>31207</v>
      </c>
      <c r="H3" s="265" t="s">
        <v>129</v>
      </c>
      <c r="I3" s="262"/>
      <c r="J3" s="262"/>
    </row>
    <row r="4" spans="1:10" s="453" customFormat="1" ht="309" customHeight="1" x14ac:dyDescent="1.35">
      <c r="A4" s="469" t="s">
        <v>114</v>
      </c>
      <c r="B4" s="432">
        <v>45250</v>
      </c>
      <c r="C4" s="431"/>
      <c r="D4" s="451">
        <v>1276</v>
      </c>
      <c r="E4" s="452">
        <v>647000</v>
      </c>
      <c r="F4" s="433"/>
      <c r="G4" s="434">
        <f>G3+E4-F4</f>
        <v>678207</v>
      </c>
      <c r="H4" s="434" t="s">
        <v>797</v>
      </c>
      <c r="I4" s="461" t="s">
        <v>798</v>
      </c>
      <c r="J4" s="431"/>
    </row>
    <row r="5" spans="1:10" s="250" customFormat="1" ht="309" customHeight="1" x14ac:dyDescent="1.35">
      <c r="A5" s="426" t="s">
        <v>113</v>
      </c>
      <c r="B5" s="427">
        <v>45250</v>
      </c>
      <c r="C5" s="426"/>
      <c r="D5" s="454">
        <v>1277</v>
      </c>
      <c r="E5" s="455">
        <v>0</v>
      </c>
      <c r="F5" s="428"/>
      <c r="G5" s="429">
        <f>G4+E5-F5</f>
        <v>678207</v>
      </c>
      <c r="H5" s="429" t="s">
        <v>190</v>
      </c>
      <c r="I5" s="450"/>
      <c r="J5" s="426"/>
    </row>
    <row r="6" spans="1:10" s="453" customFormat="1" ht="309" customHeight="1" x14ac:dyDescent="1.35">
      <c r="A6" s="431" t="s">
        <v>113</v>
      </c>
      <c r="B6" s="432">
        <v>45250</v>
      </c>
      <c r="C6" s="431"/>
      <c r="D6" s="451">
        <v>1278</v>
      </c>
      <c r="E6" s="452">
        <v>75000</v>
      </c>
      <c r="F6" s="433"/>
      <c r="G6" s="434">
        <f t="shared" ref="G6:G21" si="0">G5+E6-F6</f>
        <v>753207</v>
      </c>
      <c r="H6" s="470" t="s">
        <v>812</v>
      </c>
      <c r="I6" s="461" t="s">
        <v>813</v>
      </c>
      <c r="J6" s="431"/>
    </row>
    <row r="7" spans="1:10" s="250" customFormat="1" ht="309" customHeight="1" x14ac:dyDescent="1.35">
      <c r="A7" s="426" t="s">
        <v>113</v>
      </c>
      <c r="B7" s="427">
        <v>45250</v>
      </c>
      <c r="C7" s="426"/>
      <c r="D7" s="454" t="s">
        <v>394</v>
      </c>
      <c r="E7" s="455">
        <v>2080</v>
      </c>
      <c r="F7" s="428"/>
      <c r="G7" s="429">
        <f t="shared" si="0"/>
        <v>755287</v>
      </c>
      <c r="H7" s="429" t="s">
        <v>803</v>
      </c>
      <c r="I7" s="450"/>
      <c r="J7" s="426"/>
    </row>
    <row r="8" spans="1:10" s="453" customFormat="1" ht="309" customHeight="1" x14ac:dyDescent="1.35">
      <c r="A8" s="431" t="s">
        <v>113</v>
      </c>
      <c r="B8" s="432">
        <v>45250</v>
      </c>
      <c r="C8" s="431"/>
      <c r="D8" s="451" t="s">
        <v>394</v>
      </c>
      <c r="E8" s="452">
        <v>300000</v>
      </c>
      <c r="F8" s="433"/>
      <c r="G8" s="434">
        <f t="shared" si="0"/>
        <v>1055287</v>
      </c>
      <c r="H8" s="470" t="s">
        <v>208</v>
      </c>
      <c r="I8" s="461" t="s">
        <v>804</v>
      </c>
      <c r="J8" s="431"/>
    </row>
    <row r="9" spans="1:10" s="250" customFormat="1" ht="309" customHeight="1" x14ac:dyDescent="1.35">
      <c r="A9" s="426" t="s">
        <v>113</v>
      </c>
      <c r="B9" s="427">
        <v>45250</v>
      </c>
      <c r="C9" s="426"/>
      <c r="D9" s="454">
        <v>1279</v>
      </c>
      <c r="E9" s="455">
        <v>80000</v>
      </c>
      <c r="F9" s="428"/>
      <c r="G9" s="429">
        <f t="shared" si="0"/>
        <v>1135287</v>
      </c>
      <c r="H9" s="429" t="s">
        <v>805</v>
      </c>
      <c r="I9" s="450" t="s">
        <v>806</v>
      </c>
      <c r="J9" s="426"/>
    </row>
    <row r="10" spans="1:10" s="453" customFormat="1" ht="309" customHeight="1" x14ac:dyDescent="1.35">
      <c r="A10" s="431" t="s">
        <v>113</v>
      </c>
      <c r="B10" s="432">
        <v>45250</v>
      </c>
      <c r="C10" s="431"/>
      <c r="D10" s="451">
        <v>1280</v>
      </c>
      <c r="E10" s="452">
        <v>87000</v>
      </c>
      <c r="F10" s="433"/>
      <c r="G10" s="434">
        <f t="shared" si="0"/>
        <v>1222287</v>
      </c>
      <c r="H10" s="470" t="s">
        <v>808</v>
      </c>
      <c r="I10" s="461" t="s">
        <v>809</v>
      </c>
      <c r="J10" s="431"/>
    </row>
    <row r="11" spans="1:10" s="250" customFormat="1" ht="309" customHeight="1" x14ac:dyDescent="1.35">
      <c r="A11" s="426" t="s">
        <v>113</v>
      </c>
      <c r="B11" s="427">
        <v>45250</v>
      </c>
      <c r="C11" s="426"/>
      <c r="D11" s="454">
        <v>1281</v>
      </c>
      <c r="E11" s="455">
        <v>47500</v>
      </c>
      <c r="F11" s="428"/>
      <c r="G11" s="429">
        <f t="shared" si="0"/>
        <v>1269787</v>
      </c>
      <c r="H11" s="429" t="s">
        <v>811</v>
      </c>
      <c r="I11" s="450" t="s">
        <v>810</v>
      </c>
      <c r="J11" s="426"/>
    </row>
    <row r="12" spans="1:10" s="453" customFormat="1" ht="309" customHeight="1" x14ac:dyDescent="1.35">
      <c r="A12" s="431" t="s">
        <v>113</v>
      </c>
      <c r="B12" s="432">
        <v>45250</v>
      </c>
      <c r="C12" s="431">
        <v>1856</v>
      </c>
      <c r="D12" s="451"/>
      <c r="E12" s="452"/>
      <c r="F12" s="433">
        <v>10000</v>
      </c>
      <c r="G12" s="429">
        <f t="shared" si="0"/>
        <v>1259787</v>
      </c>
      <c r="H12" s="470" t="s">
        <v>799</v>
      </c>
      <c r="I12" s="461" t="s">
        <v>800</v>
      </c>
      <c r="J12" s="431"/>
    </row>
    <row r="13" spans="1:10" s="250" customFormat="1" ht="309" customHeight="1" x14ac:dyDescent="1.35">
      <c r="A13" s="426" t="s">
        <v>113</v>
      </c>
      <c r="B13" s="427">
        <v>45250</v>
      </c>
      <c r="C13" s="426">
        <v>1857</v>
      </c>
      <c r="D13" s="454"/>
      <c r="E13" s="455"/>
      <c r="F13" s="428">
        <v>10000</v>
      </c>
      <c r="G13" s="429">
        <f t="shared" si="0"/>
        <v>1249787</v>
      </c>
      <c r="H13" s="429" t="s">
        <v>71</v>
      </c>
      <c r="I13" s="450" t="s">
        <v>316</v>
      </c>
      <c r="J13" s="426"/>
    </row>
    <row r="14" spans="1:10" s="453" customFormat="1" ht="309" customHeight="1" x14ac:dyDescent="1.35">
      <c r="A14" s="431" t="s">
        <v>113</v>
      </c>
      <c r="B14" s="432">
        <v>45250</v>
      </c>
      <c r="C14" s="431">
        <v>1858</v>
      </c>
      <c r="D14" s="451"/>
      <c r="E14" s="452"/>
      <c r="F14" s="433">
        <v>300000</v>
      </c>
      <c r="G14" s="434">
        <f t="shared" si="0"/>
        <v>949787</v>
      </c>
      <c r="H14" s="470" t="s">
        <v>208</v>
      </c>
      <c r="I14" s="461" t="s">
        <v>801</v>
      </c>
      <c r="J14" s="431"/>
    </row>
    <row r="15" spans="1:10" s="250" customFormat="1" ht="309" customHeight="1" x14ac:dyDescent="1.35">
      <c r="A15" s="426" t="s">
        <v>113</v>
      </c>
      <c r="B15" s="427">
        <v>45250</v>
      </c>
      <c r="C15" s="426">
        <v>1859</v>
      </c>
      <c r="D15" s="454"/>
      <c r="E15" s="455"/>
      <c r="F15" s="428">
        <v>50000</v>
      </c>
      <c r="G15" s="429">
        <f t="shared" si="0"/>
        <v>899787</v>
      </c>
      <c r="H15" s="429" t="s">
        <v>235</v>
      </c>
      <c r="I15" s="450" t="s">
        <v>316</v>
      </c>
      <c r="J15" s="426"/>
    </row>
    <row r="16" spans="1:10" s="453" customFormat="1" ht="309" customHeight="1" x14ac:dyDescent="1.35">
      <c r="A16" s="431" t="s">
        <v>113</v>
      </c>
      <c r="B16" s="432">
        <v>45250</v>
      </c>
      <c r="C16" s="431">
        <v>1860</v>
      </c>
      <c r="D16" s="451"/>
      <c r="E16" s="452"/>
      <c r="F16" s="433">
        <v>670</v>
      </c>
      <c r="G16" s="434">
        <f t="shared" si="0"/>
        <v>899117</v>
      </c>
      <c r="H16" s="470" t="s">
        <v>72</v>
      </c>
      <c r="I16" s="461" t="s">
        <v>802</v>
      </c>
      <c r="J16" s="431"/>
    </row>
    <row r="17" spans="1:10" s="250" customFormat="1" ht="309" customHeight="1" x14ac:dyDescent="1.35">
      <c r="A17" s="426" t="s">
        <v>113</v>
      </c>
      <c r="B17" s="427">
        <v>45250</v>
      </c>
      <c r="C17" s="426">
        <v>1861</v>
      </c>
      <c r="D17" s="454"/>
      <c r="E17" s="455"/>
      <c r="F17" s="428">
        <v>5000</v>
      </c>
      <c r="G17" s="429">
        <f t="shared" si="0"/>
        <v>894117</v>
      </c>
      <c r="H17" s="429" t="s">
        <v>204</v>
      </c>
      <c r="I17" s="450" t="s">
        <v>807</v>
      </c>
      <c r="J17" s="426"/>
    </row>
    <row r="18" spans="1:10" s="250" customFormat="1" ht="309" customHeight="1" x14ac:dyDescent="1.35">
      <c r="A18" s="426" t="s">
        <v>113</v>
      </c>
      <c r="B18" s="432">
        <v>45250</v>
      </c>
      <c r="C18" s="426">
        <v>1862</v>
      </c>
      <c r="D18" s="454"/>
      <c r="E18" s="455"/>
      <c r="F18" s="428">
        <v>50000</v>
      </c>
      <c r="G18" s="429">
        <f t="shared" si="0"/>
        <v>844117</v>
      </c>
      <c r="H18" s="429" t="s">
        <v>71</v>
      </c>
      <c r="I18" s="450" t="s">
        <v>316</v>
      </c>
      <c r="J18" s="426"/>
    </row>
    <row r="19" spans="1:10" s="458" customFormat="1" ht="309" customHeight="1" x14ac:dyDescent="1.35">
      <c r="A19" s="441" t="s">
        <v>113</v>
      </c>
      <c r="B19" s="427">
        <v>45250</v>
      </c>
      <c r="C19" s="441"/>
      <c r="D19" s="456"/>
      <c r="E19" s="457"/>
      <c r="F19" s="443">
        <v>1500</v>
      </c>
      <c r="G19" s="429">
        <f t="shared" si="0"/>
        <v>842617</v>
      </c>
      <c r="H19" s="444" t="s">
        <v>72</v>
      </c>
      <c r="I19" s="459" t="s">
        <v>788</v>
      </c>
      <c r="J19" s="441"/>
    </row>
    <row r="20" spans="1:10" s="458" customFormat="1" ht="309" customHeight="1" x14ac:dyDescent="1.35">
      <c r="A20" s="441" t="s">
        <v>113</v>
      </c>
      <c r="B20" s="432">
        <v>45250</v>
      </c>
      <c r="C20" s="441"/>
      <c r="D20" s="456"/>
      <c r="E20" s="457"/>
      <c r="F20" s="443">
        <v>122</v>
      </c>
      <c r="G20" s="444">
        <f t="shared" si="0"/>
        <v>842495</v>
      </c>
      <c r="H20" s="444" t="s">
        <v>788</v>
      </c>
      <c r="I20" s="459" t="s">
        <v>788</v>
      </c>
      <c r="J20" s="441"/>
    </row>
    <row r="21" spans="1:10" s="458" customFormat="1" ht="309" customHeight="1" x14ac:dyDescent="1.35">
      <c r="A21" s="441" t="s">
        <v>113</v>
      </c>
      <c r="B21" s="427">
        <v>45250</v>
      </c>
      <c r="C21" s="441"/>
      <c r="D21" s="456"/>
      <c r="E21" s="457"/>
      <c r="F21" s="443">
        <v>200</v>
      </c>
      <c r="G21" s="444">
        <f t="shared" si="0"/>
        <v>842295</v>
      </c>
      <c r="H21" s="444" t="s">
        <v>336</v>
      </c>
      <c r="I21" s="459" t="s">
        <v>788</v>
      </c>
      <c r="J21" s="441"/>
    </row>
    <row r="22" spans="1:10" ht="116.25" customHeight="1" thickBot="1" x14ac:dyDescent="0.6">
      <c r="A22" s="386"/>
      <c r="B22" s="398"/>
      <c r="C22" s="386"/>
      <c r="D22" s="386"/>
      <c r="E22" s="390"/>
      <c r="F22" s="388"/>
      <c r="G22" s="389"/>
      <c r="H22" s="391"/>
      <c r="I22" s="386"/>
      <c r="J22" s="386"/>
    </row>
    <row r="23" spans="1:10" s="250" customFormat="1" ht="236.25" customHeight="1" thickTop="1" x14ac:dyDescent="1.35">
      <c r="A23" s="270"/>
      <c r="B23" s="136" t="s">
        <v>127</v>
      </c>
      <c r="C23" s="137" t="s">
        <v>115</v>
      </c>
      <c r="D23" s="137" t="s">
        <v>179</v>
      </c>
      <c r="E23" s="137" t="s">
        <v>116</v>
      </c>
      <c r="F23" s="138" t="s">
        <v>180</v>
      </c>
      <c r="G23" s="139" t="s">
        <v>211</v>
      </c>
      <c r="H23" s="271"/>
      <c r="I23" s="447"/>
      <c r="J23" s="150"/>
    </row>
    <row r="24" spans="1:10" ht="213.75" customHeight="1" thickBot="1" x14ac:dyDescent="0.6">
      <c r="A24" s="161"/>
      <c r="B24" s="140">
        <f>$G$3</f>
        <v>31207</v>
      </c>
      <c r="C24" s="141">
        <f>SUMIF(A4:A21,B1,E4:E$21)</f>
        <v>591580</v>
      </c>
      <c r="D24" s="141">
        <f>SUMIF(A4:A21,B1,F4:$F$21)</f>
        <v>427492</v>
      </c>
      <c r="E24" s="141">
        <f>SUMIF(A3:A21,A1,E3:$E$21)</f>
        <v>647000</v>
      </c>
      <c r="F24" s="141">
        <f>SUMIF(A3:A21,A1,F3:$F$21)</f>
        <v>0</v>
      </c>
      <c r="G24" s="142">
        <f>+B24+C24+E24-D24-F24</f>
        <v>842295</v>
      </c>
      <c r="H24" s="164"/>
      <c r="I24" s="180"/>
      <c r="J24" s="180"/>
    </row>
    <row r="25" spans="1:10" ht="408.75" customHeight="1" thickTop="1" x14ac:dyDescent="0.55000000000000004">
      <c r="A25" s="161"/>
      <c r="B25" s="262"/>
      <c r="C25" s="259">
        <f>+B24+C24-D24</f>
        <v>195295</v>
      </c>
      <c r="D25" s="566" t="s">
        <v>181</v>
      </c>
      <c r="E25" s="566"/>
      <c r="F25" s="566"/>
      <c r="G25" s="264"/>
      <c r="H25" s="164"/>
      <c r="I25" s="161"/>
      <c r="J25" s="161"/>
    </row>
    <row r="26" spans="1:10" s="250" customFormat="1" ht="146.25" customHeight="1" x14ac:dyDescent="1.35">
      <c r="A26" s="262"/>
      <c r="B26" s="262"/>
      <c r="C26" s="273"/>
      <c r="D26" s="567" t="s">
        <v>278</v>
      </c>
      <c r="E26" s="567"/>
      <c r="F26" s="567"/>
      <c r="G26" s="264"/>
      <c r="H26" s="272"/>
      <c r="I26" s="262"/>
      <c r="J26" s="262"/>
    </row>
    <row r="27" spans="1:10" s="250" customFormat="1" ht="258.75" customHeight="1" x14ac:dyDescent="1.35">
      <c r="A27" s="262"/>
      <c r="B27" s="262"/>
      <c r="C27" s="273"/>
      <c r="D27" s="274" t="s">
        <v>279</v>
      </c>
      <c r="E27" s="274" t="s">
        <v>280</v>
      </c>
      <c r="F27" s="274" t="s">
        <v>281</v>
      </c>
      <c r="G27" s="264"/>
      <c r="H27" s="272"/>
      <c r="I27" s="262"/>
      <c r="J27" s="262"/>
    </row>
    <row r="28" spans="1:10" ht="258.75" customHeight="1" x14ac:dyDescent="0.55000000000000004">
      <c r="A28" s="161"/>
      <c r="B28" s="161"/>
      <c r="C28" s="161"/>
      <c r="D28" s="275">
        <v>342</v>
      </c>
      <c r="E28" s="276">
        <v>200</v>
      </c>
      <c r="F28" s="276">
        <f>+E28*D28</f>
        <v>68400</v>
      </c>
      <c r="G28" s="163"/>
      <c r="H28" s="164"/>
      <c r="I28" s="161"/>
      <c r="J28" s="161"/>
    </row>
    <row r="29" spans="1:10" ht="251.25" customHeight="1" x14ac:dyDescent="0.55000000000000004">
      <c r="A29" s="161"/>
      <c r="B29" s="161"/>
      <c r="C29" s="161"/>
      <c r="D29" s="275">
        <v>1019</v>
      </c>
      <c r="E29" s="276">
        <v>100</v>
      </c>
      <c r="F29" s="276">
        <f t="shared" ref="F29:F34" si="1">+E29*D29</f>
        <v>101900</v>
      </c>
      <c r="G29" s="163"/>
      <c r="H29" s="164"/>
      <c r="I29" s="161"/>
      <c r="J29" s="161"/>
    </row>
    <row r="30" spans="1:10" ht="258.75" customHeight="1" x14ac:dyDescent="0.55000000000000004">
      <c r="A30" s="161"/>
      <c r="B30" s="161"/>
      <c r="C30" s="161"/>
      <c r="D30" s="275">
        <v>498</v>
      </c>
      <c r="E30" s="276">
        <v>50</v>
      </c>
      <c r="F30" s="276">
        <f t="shared" si="1"/>
        <v>24900</v>
      </c>
      <c r="G30" s="163"/>
      <c r="H30" s="164"/>
      <c r="I30" s="161"/>
      <c r="J30" s="161"/>
    </row>
    <row r="31" spans="1:10" ht="213.75" customHeight="1" x14ac:dyDescent="0.55000000000000004">
      <c r="A31" s="161"/>
      <c r="B31" s="161"/>
      <c r="C31" s="161"/>
      <c r="D31" s="275">
        <v>2</v>
      </c>
      <c r="E31" s="276">
        <v>20</v>
      </c>
      <c r="F31" s="276">
        <f t="shared" si="1"/>
        <v>40</v>
      </c>
      <c r="G31" s="163"/>
      <c r="H31" s="164"/>
      <c r="I31" s="161"/>
      <c r="J31" s="161"/>
    </row>
    <row r="32" spans="1:10" ht="258.75" customHeight="1" x14ac:dyDescent="0.55000000000000004">
      <c r="A32" s="161"/>
      <c r="B32" s="161"/>
      <c r="C32" s="161"/>
      <c r="D32" s="275">
        <v>3</v>
      </c>
      <c r="E32" s="276">
        <v>10</v>
      </c>
      <c r="F32" s="276">
        <f t="shared" si="1"/>
        <v>30</v>
      </c>
      <c r="G32" s="163"/>
      <c r="H32" s="164"/>
      <c r="I32" s="161"/>
      <c r="J32" s="161"/>
    </row>
    <row r="33" spans="1:10" ht="258.75" customHeight="1" x14ac:dyDescent="0.55000000000000004">
      <c r="A33" s="161"/>
      <c r="B33" s="161"/>
      <c r="C33" s="161"/>
      <c r="D33" s="275">
        <v>2</v>
      </c>
      <c r="E33" s="276">
        <v>5</v>
      </c>
      <c r="F33" s="276">
        <f t="shared" si="1"/>
        <v>10</v>
      </c>
      <c r="G33" s="163"/>
      <c r="H33" s="164"/>
      <c r="I33" s="161"/>
      <c r="J33" s="161"/>
    </row>
    <row r="34" spans="1:10" ht="258.75" customHeight="1" thickBot="1" x14ac:dyDescent="0.6">
      <c r="A34" s="161"/>
      <c r="B34" s="161"/>
      <c r="C34" s="161"/>
      <c r="D34" s="275">
        <v>15</v>
      </c>
      <c r="E34" s="276">
        <v>1</v>
      </c>
      <c r="F34" s="276">
        <f t="shared" si="1"/>
        <v>15</v>
      </c>
      <c r="G34" s="163"/>
      <c r="H34" s="164"/>
      <c r="I34" s="161"/>
      <c r="J34" s="161"/>
    </row>
    <row r="35" spans="1:10" s="250" customFormat="1" ht="213.75" customHeight="1" x14ac:dyDescent="1.35">
      <c r="A35" s="262"/>
      <c r="B35" s="262"/>
      <c r="C35" s="262"/>
      <c r="D35" s="572" t="s">
        <v>283</v>
      </c>
      <c r="E35" s="573"/>
      <c r="F35" s="281">
        <f>SUM(F28:F34)</f>
        <v>195295</v>
      </c>
      <c r="G35" s="264"/>
      <c r="H35" s="272"/>
      <c r="I35" s="262"/>
      <c r="J35" s="262"/>
    </row>
    <row r="36" spans="1:10" s="250" customFormat="1" ht="225.75" customHeight="1" x14ac:dyDescent="1.35">
      <c r="A36" s="262"/>
      <c r="B36" s="262"/>
      <c r="C36" s="262"/>
      <c r="D36" s="574" t="s">
        <v>282</v>
      </c>
      <c r="E36" s="575"/>
      <c r="F36" s="284">
        <f>C25</f>
        <v>195295</v>
      </c>
      <c r="G36" s="264"/>
      <c r="H36" s="272"/>
      <c r="I36" s="262"/>
      <c r="J36" s="262"/>
    </row>
    <row r="37" spans="1:10" s="250" customFormat="1" ht="258.75" customHeight="1" thickBot="1" x14ac:dyDescent="1.4">
      <c r="A37" s="262"/>
      <c r="B37" s="262"/>
      <c r="C37" s="262"/>
      <c r="D37" s="576" t="s">
        <v>284</v>
      </c>
      <c r="E37" s="577"/>
      <c r="F37" s="287">
        <f>+F35-F36</f>
        <v>0</v>
      </c>
      <c r="G37" s="264"/>
      <c r="H37" s="272"/>
      <c r="I37" s="262"/>
      <c r="J37" s="262"/>
    </row>
  </sheetData>
  <mergeCells count="5">
    <mergeCell ref="D25:F25"/>
    <mergeCell ref="D26:F26"/>
    <mergeCell ref="D35:E35"/>
    <mergeCell ref="D36:E36"/>
    <mergeCell ref="D37:E37"/>
  </mergeCells>
  <conditionalFormatting sqref="A1">
    <cfRule type="cellIs" dxfId="17" priority="9" operator="equal">
      <formula>#REF!</formula>
    </cfRule>
  </conditionalFormatting>
  <conditionalFormatting sqref="A2:A5 A22:A28 A35:A37">
    <cfRule type="cellIs" dxfId="16" priority="11" operator="equal">
      <formula>#REF!</formula>
    </cfRule>
  </conditionalFormatting>
  <conditionalFormatting sqref="A6:A21">
    <cfRule type="cellIs" dxfId="15" priority="1" operator="equal">
      <formula>#REF!</formula>
    </cfRule>
  </conditionalFormatting>
  <conditionalFormatting sqref="A29:A34">
    <cfRule type="cellIs" dxfId="14" priority="7" operator="equal">
      <formula>#REF!</formula>
    </cfRule>
  </conditionalFormatting>
  <conditionalFormatting sqref="B1">
    <cfRule type="cellIs" dxfId="13" priority="8" operator="equal">
      <formula>#REF!</formula>
    </cfRule>
  </conditionalFormatting>
  <conditionalFormatting sqref="C2:D2">
    <cfRule type="duplicateValues" dxfId="12" priority="10"/>
  </conditionalFormatting>
  <printOptions horizontalCentered="1" verticalCentered="1"/>
  <pageMargins left="0" right="0" top="0" bottom="0" header="0" footer="0"/>
  <pageSetup paperSize="9" scale="10" orientation="landscape" blackAndWhite="1" r:id="rId1"/>
  <rowBreaks count="2" manualBreakCount="2">
    <brk id="11" max="8" man="1"/>
    <brk id="25" max="8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J34"/>
  <sheetViews>
    <sheetView rightToLeft="1" view="pageBreakPreview" topLeftCell="A2" zoomScale="90" zoomScaleNormal="100" zoomScaleSheetLayoutView="90" workbookViewId="0">
      <pane ySplit="1" topLeftCell="A3" activePane="bottomLeft" state="frozen"/>
      <selection activeCell="A2" sqref="A2"/>
      <selection pane="bottomLeft" activeCell="A4" sqref="A4:I18"/>
    </sheetView>
  </sheetViews>
  <sheetFormatPr defaultColWidth="42.85546875" defaultRowHeight="18.75" x14ac:dyDescent="0.3"/>
  <cols>
    <col min="1" max="1" width="8.140625" customWidth="1"/>
    <col min="2" max="2" width="15.28515625" style="471" bestFit="1" customWidth="1"/>
    <col min="3" max="3" width="18.42578125" style="471" bestFit="1" customWidth="1"/>
    <col min="4" max="4" width="17" style="471" bestFit="1" customWidth="1"/>
    <col min="5" max="5" width="20.42578125" style="471" customWidth="1"/>
    <col min="6" max="6" width="16.5703125" style="471" customWidth="1"/>
    <col min="7" max="7" width="20.28515625" style="471" bestFit="1" customWidth="1"/>
    <col min="8" max="8" width="25" style="471" bestFit="1" customWidth="1"/>
    <col min="9" max="9" width="41.85546875" style="471" bestFit="1" customWidth="1"/>
    <col min="10" max="10" width="10.28515625" style="471" bestFit="1" customWidth="1"/>
    <col min="11" max="16384" width="42.85546875" style="471"/>
  </cols>
  <sheetData>
    <row r="1" spans="1:10" ht="30.75" hidden="1" thickBot="1" x14ac:dyDescent="0.35">
      <c r="A1" s="538" t="s">
        <v>114</v>
      </c>
      <c r="B1" s="513" t="s">
        <v>113</v>
      </c>
    </row>
    <row r="2" spans="1:10" ht="37.5" customHeight="1" thickBot="1" x14ac:dyDescent="0.35">
      <c r="A2" s="510" t="s">
        <v>132</v>
      </c>
      <c r="B2" s="472" t="s">
        <v>1</v>
      </c>
      <c r="C2" s="473" t="s">
        <v>86</v>
      </c>
      <c r="D2" s="473" t="s">
        <v>163</v>
      </c>
      <c r="E2" s="474" t="s">
        <v>2</v>
      </c>
      <c r="F2" s="474" t="s">
        <v>3</v>
      </c>
      <c r="G2" s="474" t="s">
        <v>4</v>
      </c>
      <c r="H2" s="473" t="s">
        <v>92</v>
      </c>
      <c r="I2" s="473" t="s">
        <v>6</v>
      </c>
      <c r="J2" s="473" t="s">
        <v>7</v>
      </c>
    </row>
    <row r="3" spans="1:10" ht="27" customHeight="1" x14ac:dyDescent="0.3">
      <c r="A3" s="30"/>
      <c r="B3" s="515"/>
      <c r="C3" s="514"/>
      <c r="D3" s="514"/>
      <c r="E3" s="516"/>
      <c r="F3" s="516"/>
      <c r="G3" s="517">
        <v>195295</v>
      </c>
      <c r="H3" s="517" t="s">
        <v>129</v>
      </c>
      <c r="I3" s="514"/>
      <c r="J3" s="514"/>
    </row>
    <row r="4" spans="1:10" s="477" customFormat="1" ht="30.75" customHeight="1" x14ac:dyDescent="0.3">
      <c r="A4" s="540" t="s">
        <v>113</v>
      </c>
      <c r="B4" s="518">
        <v>45251</v>
      </c>
      <c r="C4" s="519"/>
      <c r="D4" s="520">
        <v>1282</v>
      </c>
      <c r="E4" s="521">
        <v>250000</v>
      </c>
      <c r="F4" s="522"/>
      <c r="G4" s="523">
        <f>G3+E4-F4</f>
        <v>445295</v>
      </c>
      <c r="H4" s="523" t="s">
        <v>754</v>
      </c>
      <c r="I4" s="524" t="s">
        <v>815</v>
      </c>
      <c r="J4" s="519"/>
    </row>
    <row r="5" spans="1:10" ht="30.75" customHeight="1" x14ac:dyDescent="0.3">
      <c r="A5" s="539" t="s">
        <v>113</v>
      </c>
      <c r="B5" s="526">
        <v>45251</v>
      </c>
      <c r="C5" s="525"/>
      <c r="D5" s="527">
        <v>1283</v>
      </c>
      <c r="E5" s="528">
        <v>90000</v>
      </c>
      <c r="F5" s="529"/>
      <c r="G5" s="530">
        <f>G4+E5-F5</f>
        <v>535295</v>
      </c>
      <c r="H5" s="530" t="s">
        <v>816</v>
      </c>
      <c r="I5" s="531" t="s">
        <v>817</v>
      </c>
      <c r="J5" s="525"/>
    </row>
    <row r="6" spans="1:10" s="477" customFormat="1" ht="30.75" customHeight="1" x14ac:dyDescent="0.3">
      <c r="A6" s="540" t="s">
        <v>113</v>
      </c>
      <c r="B6" s="518">
        <v>45251</v>
      </c>
      <c r="C6" s="519"/>
      <c r="D6" s="520"/>
      <c r="E6" s="521">
        <v>3340</v>
      </c>
      <c r="F6" s="522"/>
      <c r="G6" s="523">
        <f t="shared" ref="G6:G18" si="0">G5+E6-F6</f>
        <v>538635</v>
      </c>
      <c r="H6" s="523" t="s">
        <v>128</v>
      </c>
      <c r="I6" s="524"/>
      <c r="J6" s="519"/>
    </row>
    <row r="7" spans="1:10" ht="30.75" customHeight="1" x14ac:dyDescent="0.3">
      <c r="A7" s="539" t="s">
        <v>113</v>
      </c>
      <c r="B7" s="526">
        <v>45251</v>
      </c>
      <c r="C7" s="525">
        <v>1863</v>
      </c>
      <c r="D7" s="527"/>
      <c r="E7" s="528"/>
      <c r="F7" s="529">
        <v>500</v>
      </c>
      <c r="G7" s="530">
        <f t="shared" si="0"/>
        <v>538135</v>
      </c>
      <c r="H7" s="530" t="s">
        <v>225</v>
      </c>
      <c r="I7" s="531" t="s">
        <v>224</v>
      </c>
      <c r="J7" s="525"/>
    </row>
    <row r="8" spans="1:10" s="477" customFormat="1" ht="30.75" customHeight="1" x14ac:dyDescent="0.3">
      <c r="A8" s="540" t="s">
        <v>113</v>
      </c>
      <c r="B8" s="518">
        <v>45251</v>
      </c>
      <c r="C8" s="519">
        <v>1864</v>
      </c>
      <c r="D8" s="520"/>
      <c r="E8" s="521"/>
      <c r="F8" s="522">
        <v>100000</v>
      </c>
      <c r="G8" s="523">
        <f t="shared" si="0"/>
        <v>438135</v>
      </c>
      <c r="H8" s="523" t="s">
        <v>315</v>
      </c>
      <c r="I8" s="524" t="s">
        <v>316</v>
      </c>
      <c r="J8" s="519"/>
    </row>
    <row r="9" spans="1:10" ht="30.75" customHeight="1" x14ac:dyDescent="0.3">
      <c r="A9" s="539" t="s">
        <v>113</v>
      </c>
      <c r="B9" s="526">
        <v>45251</v>
      </c>
      <c r="C9" s="525">
        <v>1865</v>
      </c>
      <c r="D9" s="527"/>
      <c r="E9" s="528"/>
      <c r="F9" s="529">
        <v>27750</v>
      </c>
      <c r="G9" s="530">
        <f t="shared" si="0"/>
        <v>410385</v>
      </c>
      <c r="H9" s="530" t="s">
        <v>818</v>
      </c>
      <c r="I9" s="531" t="s">
        <v>819</v>
      </c>
      <c r="J9" s="525"/>
    </row>
    <row r="10" spans="1:10" s="477" customFormat="1" ht="30.75" customHeight="1" x14ac:dyDescent="0.3">
      <c r="A10" s="540" t="s">
        <v>113</v>
      </c>
      <c r="B10" s="518">
        <v>45251</v>
      </c>
      <c r="C10" s="519">
        <v>1866</v>
      </c>
      <c r="D10" s="520"/>
      <c r="E10" s="521"/>
      <c r="F10" s="522">
        <v>500</v>
      </c>
      <c r="G10" s="523">
        <f t="shared" si="0"/>
        <v>409885</v>
      </c>
      <c r="H10" s="523" t="s">
        <v>820</v>
      </c>
      <c r="I10" s="524" t="s">
        <v>821</v>
      </c>
      <c r="J10" s="519"/>
    </row>
    <row r="11" spans="1:10" ht="30.75" customHeight="1" x14ac:dyDescent="0.3">
      <c r="A11" s="539" t="s">
        <v>113</v>
      </c>
      <c r="B11" s="526">
        <v>45251</v>
      </c>
      <c r="C11" s="525">
        <v>1867</v>
      </c>
      <c r="D11" s="527"/>
      <c r="E11" s="528"/>
      <c r="F11" s="529">
        <v>5000</v>
      </c>
      <c r="G11" s="530">
        <f t="shared" si="0"/>
        <v>404885</v>
      </c>
      <c r="H11" s="530" t="s">
        <v>199</v>
      </c>
      <c r="I11" s="531" t="s">
        <v>318</v>
      </c>
      <c r="J11" s="525"/>
    </row>
    <row r="12" spans="1:10" s="477" customFormat="1" ht="30.75" customHeight="1" x14ac:dyDescent="0.3">
      <c r="A12" s="540" t="s">
        <v>113</v>
      </c>
      <c r="B12" s="518">
        <v>45251</v>
      </c>
      <c r="C12" s="519">
        <v>1868</v>
      </c>
      <c r="D12" s="520"/>
      <c r="E12" s="521"/>
      <c r="F12" s="522">
        <v>4335</v>
      </c>
      <c r="G12" s="523">
        <f t="shared" si="0"/>
        <v>400550</v>
      </c>
      <c r="H12" s="523" t="s">
        <v>226</v>
      </c>
      <c r="I12" s="524" t="s">
        <v>822</v>
      </c>
      <c r="J12" s="519"/>
    </row>
    <row r="13" spans="1:10" ht="30.75" customHeight="1" x14ac:dyDescent="0.3">
      <c r="A13" s="539" t="s">
        <v>113</v>
      </c>
      <c r="B13" s="526">
        <v>45251</v>
      </c>
      <c r="C13" s="525">
        <v>1869</v>
      </c>
      <c r="D13" s="527"/>
      <c r="E13" s="528"/>
      <c r="F13" s="529">
        <v>1000</v>
      </c>
      <c r="G13" s="530">
        <f t="shared" si="0"/>
        <v>399550</v>
      </c>
      <c r="H13" s="530" t="s">
        <v>204</v>
      </c>
      <c r="I13" s="531" t="s">
        <v>823</v>
      </c>
      <c r="J13" s="525"/>
    </row>
    <row r="14" spans="1:10" s="477" customFormat="1" ht="30.75" customHeight="1" x14ac:dyDescent="0.3">
      <c r="A14" s="540" t="s">
        <v>113</v>
      </c>
      <c r="B14" s="518">
        <v>45251</v>
      </c>
      <c r="C14" s="519">
        <v>1870</v>
      </c>
      <c r="D14" s="520"/>
      <c r="E14" s="521"/>
      <c r="F14" s="522">
        <v>20830</v>
      </c>
      <c r="G14" s="523">
        <f t="shared" si="0"/>
        <v>378720</v>
      </c>
      <c r="H14" s="523" t="s">
        <v>252</v>
      </c>
      <c r="I14" s="524" t="s">
        <v>824</v>
      </c>
      <c r="J14" s="519"/>
    </row>
    <row r="15" spans="1:10" ht="30.75" customHeight="1" x14ac:dyDescent="0.3">
      <c r="A15" s="539" t="s">
        <v>113</v>
      </c>
      <c r="B15" s="526">
        <v>45252</v>
      </c>
      <c r="C15" s="525">
        <v>1871</v>
      </c>
      <c r="D15" s="527"/>
      <c r="E15" s="528"/>
      <c r="F15" s="529">
        <v>50000</v>
      </c>
      <c r="G15" s="530">
        <f t="shared" si="0"/>
        <v>328720</v>
      </c>
      <c r="H15" s="530" t="s">
        <v>204</v>
      </c>
      <c r="I15" s="531" t="s">
        <v>293</v>
      </c>
      <c r="J15" s="525"/>
    </row>
    <row r="16" spans="1:10" s="478" customFormat="1" ht="30.75" customHeight="1" x14ac:dyDescent="0.3">
      <c r="A16" s="541" t="s">
        <v>113</v>
      </c>
      <c r="B16" s="542">
        <v>45251</v>
      </c>
      <c r="C16" s="532"/>
      <c r="D16" s="533"/>
      <c r="E16" s="534">
        <f>1500+122+200</f>
        <v>1822</v>
      </c>
      <c r="F16" s="535"/>
      <c r="G16" s="536">
        <f t="shared" si="0"/>
        <v>330542</v>
      </c>
      <c r="H16" s="536" t="s">
        <v>825</v>
      </c>
      <c r="I16" s="537"/>
      <c r="J16" s="532"/>
    </row>
    <row r="17" spans="1:10" s="478" customFormat="1" ht="30.75" customHeight="1" x14ac:dyDescent="0.3">
      <c r="A17" s="541" t="s">
        <v>113</v>
      </c>
      <c r="B17" s="542">
        <v>45251</v>
      </c>
      <c r="C17" s="532"/>
      <c r="D17" s="533"/>
      <c r="E17" s="534"/>
      <c r="F17" s="535">
        <v>122</v>
      </c>
      <c r="G17" s="536">
        <f t="shared" si="0"/>
        <v>330420</v>
      </c>
      <c r="H17" s="536" t="s">
        <v>788</v>
      </c>
      <c r="I17" s="537" t="s">
        <v>788</v>
      </c>
      <c r="J17" s="532"/>
    </row>
    <row r="18" spans="1:10" s="478" customFormat="1" ht="30.75" customHeight="1" x14ac:dyDescent="0.3">
      <c r="A18" s="541" t="s">
        <v>113</v>
      </c>
      <c r="B18" s="542">
        <v>45251</v>
      </c>
      <c r="C18" s="532"/>
      <c r="D18" s="533"/>
      <c r="E18" s="534"/>
      <c r="F18" s="535">
        <v>200</v>
      </c>
      <c r="G18" s="536">
        <f t="shared" si="0"/>
        <v>330220</v>
      </c>
      <c r="H18" s="536" t="s">
        <v>336</v>
      </c>
      <c r="I18" s="537" t="s">
        <v>788</v>
      </c>
      <c r="J18" s="532"/>
    </row>
    <row r="19" spans="1:10" ht="19.5" thickBot="1" x14ac:dyDescent="0.35">
      <c r="A19" s="512"/>
      <c r="B19" s="480"/>
      <c r="C19" s="479"/>
      <c r="D19" s="479"/>
      <c r="E19" s="481"/>
      <c r="F19" s="482"/>
      <c r="G19" s="483"/>
      <c r="H19" s="484"/>
      <c r="I19" s="479"/>
      <c r="J19" s="479"/>
    </row>
    <row r="20" spans="1:10" s="493" customFormat="1" ht="36.75" customHeight="1" thickTop="1" x14ac:dyDescent="0.25">
      <c r="A20" s="509"/>
      <c r="B20" s="496" t="s">
        <v>127</v>
      </c>
      <c r="C20" s="497" t="s">
        <v>115</v>
      </c>
      <c r="D20" s="497" t="s">
        <v>814</v>
      </c>
      <c r="E20" s="497" t="s">
        <v>116</v>
      </c>
      <c r="F20" s="498" t="s">
        <v>180</v>
      </c>
      <c r="G20" s="499" t="s">
        <v>211</v>
      </c>
      <c r="H20" s="500"/>
      <c r="I20" s="501"/>
      <c r="J20" s="502"/>
    </row>
    <row r="21" spans="1:10" s="493" customFormat="1" ht="45" customHeight="1" thickBot="1" x14ac:dyDescent="0.3">
      <c r="A21" s="511"/>
      <c r="B21" s="503">
        <f>$G$3</f>
        <v>195295</v>
      </c>
      <c r="C21" s="504">
        <f>SUMIF(A4:A18,B1,E4:E$18)</f>
        <v>345162</v>
      </c>
      <c r="D21" s="504">
        <f>SUMIF(A4:A18,B1,F4:$F$18)</f>
        <v>210237</v>
      </c>
      <c r="E21" s="504">
        <f>SUMIF(A3:A18,A1,E3:$E$18)</f>
        <v>0</v>
      </c>
      <c r="F21" s="504">
        <f>SUMIF(A3:A18,A1,F3:$F$18)</f>
        <v>0</v>
      </c>
      <c r="G21" s="505">
        <f>+B21+C21+E21-D21-F21</f>
        <v>330220</v>
      </c>
      <c r="H21" s="506"/>
      <c r="I21" s="507"/>
      <c r="J21" s="507"/>
    </row>
    <row r="22" spans="1:10" s="493" customFormat="1" ht="44.25" customHeight="1" thickTop="1" x14ac:dyDescent="0.25">
      <c r="A22" s="511"/>
      <c r="B22" s="494"/>
      <c r="C22" s="508">
        <f>+B21+C21-D21</f>
        <v>330220</v>
      </c>
      <c r="D22" s="578" t="s">
        <v>181</v>
      </c>
      <c r="E22" s="578"/>
      <c r="F22" s="578"/>
      <c r="G22" s="495"/>
      <c r="H22" s="506"/>
      <c r="I22" s="494"/>
      <c r="J22" s="494"/>
    </row>
    <row r="23" spans="1:10" x14ac:dyDescent="0.3">
      <c r="A23" s="511"/>
      <c r="B23" s="475"/>
      <c r="C23" s="486"/>
      <c r="D23" s="579" t="s">
        <v>278</v>
      </c>
      <c r="E23" s="579"/>
      <c r="F23" s="579"/>
      <c r="G23" s="476"/>
      <c r="H23" s="485"/>
      <c r="I23" s="475"/>
      <c r="J23" s="475"/>
    </row>
    <row r="24" spans="1:10" x14ac:dyDescent="0.3">
      <c r="A24" s="511"/>
      <c r="B24" s="475"/>
      <c r="C24" s="486"/>
      <c r="D24" s="487" t="s">
        <v>279</v>
      </c>
      <c r="E24" s="487" t="s">
        <v>280</v>
      </c>
      <c r="F24" s="487" t="s">
        <v>281</v>
      </c>
      <c r="G24" s="476"/>
      <c r="H24" s="485"/>
      <c r="I24" s="475"/>
      <c r="J24" s="475"/>
    </row>
    <row r="25" spans="1:10" ht="24.75" customHeight="1" x14ac:dyDescent="0.3">
      <c r="A25" s="511"/>
      <c r="B25" s="475"/>
      <c r="C25" s="475"/>
      <c r="D25" s="488">
        <v>201</v>
      </c>
      <c r="E25" s="489">
        <v>200</v>
      </c>
      <c r="F25" s="489">
        <f>+E25*D25</f>
        <v>40200</v>
      </c>
      <c r="G25" s="476"/>
      <c r="H25" s="485"/>
      <c r="I25" s="475"/>
      <c r="J25" s="475"/>
    </row>
    <row r="26" spans="1:10" ht="24.75" customHeight="1" x14ac:dyDescent="0.3">
      <c r="A26" s="511"/>
      <c r="B26" s="475"/>
      <c r="C26" s="475"/>
      <c r="D26" s="488">
        <v>1783</v>
      </c>
      <c r="E26" s="489">
        <v>100</v>
      </c>
      <c r="F26" s="489">
        <f t="shared" ref="F26:F31" si="1">+E26*D26</f>
        <v>178300</v>
      </c>
      <c r="G26" s="476"/>
      <c r="H26" s="485"/>
      <c r="I26" s="475"/>
      <c r="J26" s="475"/>
    </row>
    <row r="27" spans="1:10" ht="24.75" customHeight="1" x14ac:dyDescent="0.3">
      <c r="A27" s="511"/>
      <c r="B27" s="475"/>
      <c r="C27" s="475"/>
      <c r="D27" s="488">
        <v>2219</v>
      </c>
      <c r="E27" s="489">
        <v>50</v>
      </c>
      <c r="F27" s="489">
        <f t="shared" si="1"/>
        <v>110950</v>
      </c>
      <c r="G27" s="476"/>
      <c r="H27" s="485"/>
      <c r="I27" s="475"/>
      <c r="J27" s="475"/>
    </row>
    <row r="28" spans="1:10" ht="24.75" customHeight="1" x14ac:dyDescent="0.3">
      <c r="A28" s="511"/>
      <c r="B28" s="475"/>
      <c r="C28" s="475"/>
      <c r="D28" s="488">
        <v>16</v>
      </c>
      <c r="E28" s="489">
        <v>20</v>
      </c>
      <c r="F28" s="489">
        <f t="shared" si="1"/>
        <v>320</v>
      </c>
      <c r="G28" s="476"/>
      <c r="H28" s="485"/>
      <c r="I28" s="475"/>
      <c r="J28" s="475"/>
    </row>
    <row r="29" spans="1:10" ht="24.75" customHeight="1" x14ac:dyDescent="0.3">
      <c r="A29" s="511"/>
      <c r="B29" s="475"/>
      <c r="C29" s="475"/>
      <c r="D29" s="488">
        <v>41</v>
      </c>
      <c r="E29" s="489">
        <v>10</v>
      </c>
      <c r="F29" s="489">
        <f t="shared" si="1"/>
        <v>410</v>
      </c>
      <c r="G29" s="476"/>
      <c r="H29" s="485"/>
      <c r="I29" s="475"/>
      <c r="J29" s="475"/>
    </row>
    <row r="30" spans="1:10" ht="24.75" customHeight="1" x14ac:dyDescent="0.3">
      <c r="A30" s="511"/>
      <c r="B30" s="475"/>
      <c r="C30" s="475"/>
      <c r="D30" s="488">
        <v>3</v>
      </c>
      <c r="E30" s="489">
        <v>5</v>
      </c>
      <c r="F30" s="489">
        <f t="shared" si="1"/>
        <v>15</v>
      </c>
      <c r="G30" s="476"/>
      <c r="H30" s="485"/>
      <c r="I30" s="475"/>
      <c r="J30" s="475"/>
    </row>
    <row r="31" spans="1:10" ht="24.75" customHeight="1" thickBot="1" x14ac:dyDescent="0.35">
      <c r="A31" s="511"/>
      <c r="B31" s="475"/>
      <c r="C31" s="475"/>
      <c r="D31" s="488">
        <v>25</v>
      </c>
      <c r="E31" s="489">
        <v>1</v>
      </c>
      <c r="F31" s="489">
        <f t="shared" si="1"/>
        <v>25</v>
      </c>
      <c r="G31" s="476"/>
      <c r="H31" s="485"/>
      <c r="I31" s="475"/>
      <c r="J31" s="475"/>
    </row>
    <row r="32" spans="1:10" ht="27.75" customHeight="1" x14ac:dyDescent="0.3">
      <c r="A32" s="511"/>
      <c r="B32" s="475"/>
      <c r="C32" s="475"/>
      <c r="D32" s="580" t="s">
        <v>283</v>
      </c>
      <c r="E32" s="581"/>
      <c r="F32" s="490">
        <f>SUM(F25:F31)</f>
        <v>330220</v>
      </c>
      <c r="G32" s="476"/>
      <c r="H32" s="485"/>
      <c r="I32" s="475"/>
      <c r="J32" s="475"/>
    </row>
    <row r="33" spans="1:10" ht="27.75" customHeight="1" x14ac:dyDescent="0.3">
      <c r="A33" s="511"/>
      <c r="B33" s="475"/>
      <c r="C33" s="475"/>
      <c r="D33" s="582" t="s">
        <v>282</v>
      </c>
      <c r="E33" s="583"/>
      <c r="F33" s="491">
        <f>C22</f>
        <v>330220</v>
      </c>
      <c r="G33" s="476"/>
      <c r="H33" s="485"/>
      <c r="I33" s="475"/>
      <c r="J33" s="475"/>
    </row>
    <row r="34" spans="1:10" ht="28.5" customHeight="1" thickBot="1" x14ac:dyDescent="0.35">
      <c r="A34" s="511"/>
      <c r="B34" s="475"/>
      <c r="C34" s="475"/>
      <c r="D34" s="584" t="s">
        <v>284</v>
      </c>
      <c r="E34" s="585"/>
      <c r="F34" s="492">
        <f>+F32-F33</f>
        <v>0</v>
      </c>
      <c r="G34" s="476"/>
      <c r="H34" s="485"/>
      <c r="I34" s="475"/>
      <c r="J34" s="475"/>
    </row>
  </sheetData>
  <mergeCells count="5">
    <mergeCell ref="D22:F22"/>
    <mergeCell ref="D23:F23"/>
    <mergeCell ref="D32:E32"/>
    <mergeCell ref="D33:E33"/>
    <mergeCell ref="D34:E34"/>
  </mergeCells>
  <conditionalFormatting sqref="A1">
    <cfRule type="cellIs" dxfId="11" priority="9" operator="equal">
      <formula>#REF!</formula>
    </cfRule>
  </conditionalFormatting>
  <conditionalFormatting sqref="A2:A5 A19:A25 A32:A34">
    <cfRule type="cellIs" dxfId="10" priority="11" operator="equal">
      <formula>#REF!</formula>
    </cfRule>
  </conditionalFormatting>
  <conditionalFormatting sqref="A6:A18">
    <cfRule type="cellIs" dxfId="9" priority="1" operator="equal">
      <formula>#REF!</formula>
    </cfRule>
  </conditionalFormatting>
  <conditionalFormatting sqref="A26:A31">
    <cfRule type="cellIs" dxfId="8" priority="7" operator="equal">
      <formula>#REF!</formula>
    </cfRule>
  </conditionalFormatting>
  <conditionalFormatting sqref="B1">
    <cfRule type="cellIs" dxfId="7" priority="8" operator="equal">
      <formula>#REF!</formula>
    </cfRule>
  </conditionalFormatting>
  <conditionalFormatting sqref="C2:D2">
    <cfRule type="duplicateValues" dxfId="6" priority="10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1:J44"/>
  <sheetViews>
    <sheetView rightToLeft="1" tabSelected="1" view="pageBreakPreview" topLeftCell="A2" zoomScale="90" zoomScaleNormal="100" zoomScaleSheetLayoutView="90" workbookViewId="0">
      <pane ySplit="1" topLeftCell="A16" activePane="bottomLeft" state="frozen"/>
      <selection activeCell="A2" sqref="A2"/>
      <selection pane="bottomLeft" activeCell="C31" sqref="C31"/>
    </sheetView>
  </sheetViews>
  <sheetFormatPr defaultColWidth="42.85546875" defaultRowHeight="18.75" x14ac:dyDescent="0.3"/>
  <cols>
    <col min="1" max="1" width="11.85546875" customWidth="1"/>
    <col min="2" max="2" width="15.28515625" style="471" bestFit="1" customWidth="1"/>
    <col min="3" max="3" width="18.42578125" style="471" bestFit="1" customWidth="1"/>
    <col min="4" max="4" width="13.140625" style="471" customWidth="1"/>
    <col min="5" max="6" width="16.5703125" style="471" customWidth="1"/>
    <col min="7" max="7" width="17" style="493" customWidth="1"/>
    <col min="8" max="8" width="25" style="471" bestFit="1" customWidth="1"/>
    <col min="9" max="9" width="41.85546875" style="471" bestFit="1" customWidth="1"/>
    <col min="10" max="10" width="10.28515625" style="471" bestFit="1" customWidth="1"/>
    <col min="11" max="16384" width="42.85546875" style="471"/>
  </cols>
  <sheetData>
    <row r="1" spans="1:10" ht="19.5" hidden="1" thickBot="1" x14ac:dyDescent="0.35">
      <c r="A1" s="538" t="s">
        <v>114</v>
      </c>
      <c r="B1" s="513" t="s">
        <v>113</v>
      </c>
    </row>
    <row r="2" spans="1:10" ht="37.5" customHeight="1" thickBot="1" x14ac:dyDescent="0.35">
      <c r="A2" s="510" t="s">
        <v>132</v>
      </c>
      <c r="B2" s="472" t="s">
        <v>1</v>
      </c>
      <c r="C2" s="473" t="s">
        <v>86</v>
      </c>
      <c r="D2" s="473" t="s">
        <v>163</v>
      </c>
      <c r="E2" s="474" t="s">
        <v>2</v>
      </c>
      <c r="F2" s="474" t="s">
        <v>3</v>
      </c>
      <c r="G2" s="556" t="s">
        <v>4</v>
      </c>
      <c r="H2" s="473" t="s">
        <v>92</v>
      </c>
      <c r="I2" s="473" t="s">
        <v>6</v>
      </c>
      <c r="J2" s="473" t="s">
        <v>7</v>
      </c>
    </row>
    <row r="3" spans="1:10" ht="27" customHeight="1" x14ac:dyDescent="0.3">
      <c r="A3" s="30"/>
      <c r="B3" s="515"/>
      <c r="C3" s="514"/>
      <c r="D3" s="514"/>
      <c r="E3" s="516"/>
      <c r="F3" s="516"/>
      <c r="G3" s="557">
        <v>330220</v>
      </c>
      <c r="H3" s="517" t="s">
        <v>129</v>
      </c>
      <c r="I3" s="514"/>
      <c r="J3" s="514"/>
    </row>
    <row r="4" spans="1:10" s="477" customFormat="1" ht="30.75" customHeight="1" x14ac:dyDescent="0.3">
      <c r="A4" s="540" t="s">
        <v>113</v>
      </c>
      <c r="B4" s="518">
        <v>45252</v>
      </c>
      <c r="C4" s="519"/>
      <c r="D4" s="520"/>
      <c r="E4" s="534">
        <f>150000+200000</f>
        <v>350000</v>
      </c>
      <c r="F4" s="522"/>
      <c r="G4" s="558">
        <f>G3+E4-F4</f>
        <v>680220</v>
      </c>
      <c r="H4" s="536" t="s">
        <v>329</v>
      </c>
      <c r="I4" s="524" t="s">
        <v>244</v>
      </c>
      <c r="J4" s="519"/>
    </row>
    <row r="5" spans="1:10" ht="30.75" customHeight="1" x14ac:dyDescent="0.3">
      <c r="A5" s="539" t="s">
        <v>113</v>
      </c>
      <c r="B5" s="518">
        <v>45252</v>
      </c>
      <c r="C5" s="525"/>
      <c r="D5" s="527"/>
      <c r="E5" s="528">
        <v>50000</v>
      </c>
      <c r="F5" s="529"/>
      <c r="G5" s="559">
        <f>G4+E5-F5</f>
        <v>730220</v>
      </c>
      <c r="H5" s="530" t="s">
        <v>438</v>
      </c>
      <c r="I5" s="531"/>
      <c r="J5" s="525"/>
    </row>
    <row r="6" spans="1:10" ht="30.75" customHeight="1" x14ac:dyDescent="0.3">
      <c r="A6" s="539" t="s">
        <v>113</v>
      </c>
      <c r="B6" s="518">
        <v>45252</v>
      </c>
      <c r="C6" s="525"/>
      <c r="D6" s="527"/>
      <c r="E6" s="528">
        <v>2762</v>
      </c>
      <c r="F6" s="529"/>
      <c r="G6" s="559">
        <f>G5+E6-F6</f>
        <v>732982</v>
      </c>
      <c r="H6" s="530" t="s">
        <v>830</v>
      </c>
      <c r="I6" s="531"/>
      <c r="J6" s="525"/>
    </row>
    <row r="7" spans="1:10" ht="30.75" customHeight="1" x14ac:dyDescent="0.3">
      <c r="A7" s="539" t="s">
        <v>113</v>
      </c>
      <c r="B7" s="518">
        <v>45252</v>
      </c>
      <c r="C7" s="525"/>
      <c r="D7" s="527"/>
      <c r="E7" s="528">
        <v>1350000</v>
      </c>
      <c r="F7" s="529"/>
      <c r="G7" s="559">
        <f t="shared" ref="G7:G21" si="0">G6+E7-F7</f>
        <v>2082982</v>
      </c>
      <c r="H7" s="530" t="s">
        <v>441</v>
      </c>
      <c r="I7" s="531"/>
      <c r="J7" s="525"/>
    </row>
    <row r="8" spans="1:10" ht="30.75" customHeight="1" x14ac:dyDescent="0.3">
      <c r="A8" s="539" t="s">
        <v>113</v>
      </c>
      <c r="B8" s="518">
        <v>45252</v>
      </c>
      <c r="C8" s="525"/>
      <c r="D8" s="527"/>
      <c r="E8" s="534">
        <v>35000</v>
      </c>
      <c r="F8" s="529"/>
      <c r="G8" s="559">
        <f t="shared" si="0"/>
        <v>2117982</v>
      </c>
      <c r="H8" s="536" t="s">
        <v>329</v>
      </c>
      <c r="I8" s="531" t="s">
        <v>840</v>
      </c>
      <c r="J8" s="525"/>
    </row>
    <row r="9" spans="1:10" s="548" customFormat="1" ht="30.75" customHeight="1" x14ac:dyDescent="0.3">
      <c r="A9" s="543" t="s">
        <v>114</v>
      </c>
      <c r="B9" s="518">
        <v>45252</v>
      </c>
      <c r="C9" s="544"/>
      <c r="D9" s="544">
        <v>1284</v>
      </c>
      <c r="E9" s="545">
        <v>24525</v>
      </c>
      <c r="F9" s="545"/>
      <c r="G9" s="560">
        <f t="shared" si="0"/>
        <v>2142507</v>
      </c>
      <c r="H9" s="546" t="s">
        <v>831</v>
      </c>
      <c r="I9" s="547" t="s">
        <v>832</v>
      </c>
      <c r="J9" s="544"/>
    </row>
    <row r="10" spans="1:10" s="548" customFormat="1" ht="30.75" customHeight="1" x14ac:dyDescent="0.3">
      <c r="A10" s="543" t="s">
        <v>114</v>
      </c>
      <c r="B10" s="518">
        <v>45252</v>
      </c>
      <c r="C10" s="544"/>
      <c r="D10" s="544">
        <v>1285</v>
      </c>
      <c r="E10" s="545">
        <v>63000</v>
      </c>
      <c r="F10" s="545"/>
      <c r="G10" s="560">
        <f t="shared" si="0"/>
        <v>2205507</v>
      </c>
      <c r="H10" s="546" t="s">
        <v>833</v>
      </c>
      <c r="I10" s="547" t="s">
        <v>834</v>
      </c>
      <c r="J10" s="544"/>
    </row>
    <row r="11" spans="1:10" s="548" customFormat="1" ht="30.75" customHeight="1" x14ac:dyDescent="0.3">
      <c r="A11" s="543" t="s">
        <v>114</v>
      </c>
      <c r="B11" s="518">
        <v>45252</v>
      </c>
      <c r="C11" s="544"/>
      <c r="D11" s="544">
        <v>1286</v>
      </c>
      <c r="E11" s="545">
        <v>130000</v>
      </c>
      <c r="F11" s="545"/>
      <c r="G11" s="560">
        <f t="shared" si="0"/>
        <v>2335507</v>
      </c>
      <c r="H11" s="546" t="s">
        <v>17</v>
      </c>
      <c r="I11" s="547" t="s">
        <v>835</v>
      </c>
      <c r="J11" s="544"/>
    </row>
    <row r="12" spans="1:10" ht="30.75" customHeight="1" x14ac:dyDescent="0.3">
      <c r="A12" s="539" t="s">
        <v>113</v>
      </c>
      <c r="B12" s="518">
        <v>45252</v>
      </c>
      <c r="C12" s="525"/>
      <c r="D12" s="527">
        <v>1287</v>
      </c>
      <c r="E12" s="528">
        <v>70000</v>
      </c>
      <c r="F12" s="529"/>
      <c r="G12" s="559">
        <f t="shared" si="0"/>
        <v>2405507</v>
      </c>
      <c r="H12" s="530" t="s">
        <v>836</v>
      </c>
      <c r="I12" s="531" t="s">
        <v>837</v>
      </c>
      <c r="J12" s="525"/>
    </row>
    <row r="13" spans="1:10" ht="30.75" customHeight="1" x14ac:dyDescent="0.3">
      <c r="A13" s="539" t="s">
        <v>113</v>
      </c>
      <c r="B13" s="518">
        <v>45252</v>
      </c>
      <c r="C13" s="525"/>
      <c r="D13" s="527">
        <v>1288</v>
      </c>
      <c r="E13" s="528">
        <v>105000</v>
      </c>
      <c r="F13" s="529"/>
      <c r="G13" s="559">
        <f t="shared" si="0"/>
        <v>2510507</v>
      </c>
      <c r="H13" s="530" t="s">
        <v>838</v>
      </c>
      <c r="I13" s="531" t="s">
        <v>839</v>
      </c>
      <c r="J13" s="525"/>
    </row>
    <row r="14" spans="1:10" ht="30.75" customHeight="1" x14ac:dyDescent="0.3">
      <c r="A14" s="539" t="s">
        <v>113</v>
      </c>
      <c r="B14" s="518">
        <v>45252</v>
      </c>
      <c r="C14" s="525"/>
      <c r="D14" s="527">
        <v>1289</v>
      </c>
      <c r="E14" s="528">
        <v>1500000</v>
      </c>
      <c r="F14" s="529"/>
      <c r="G14" s="559">
        <f t="shared" si="0"/>
        <v>4010507</v>
      </c>
      <c r="H14" s="530" t="s">
        <v>844</v>
      </c>
      <c r="I14" s="531" t="s">
        <v>845</v>
      </c>
      <c r="J14" s="525"/>
    </row>
    <row r="15" spans="1:10" ht="30.75" customHeight="1" x14ac:dyDescent="0.3">
      <c r="A15" s="543" t="s">
        <v>114</v>
      </c>
      <c r="B15" s="518">
        <v>45252</v>
      </c>
      <c r="C15" s="525"/>
      <c r="D15" s="527">
        <v>1290</v>
      </c>
      <c r="E15" s="528">
        <v>600000</v>
      </c>
      <c r="F15" s="529"/>
      <c r="G15" s="559">
        <f t="shared" si="0"/>
        <v>4610507</v>
      </c>
      <c r="H15" s="530" t="s">
        <v>844</v>
      </c>
      <c r="I15" s="531" t="s">
        <v>845</v>
      </c>
      <c r="J15" s="525" t="s">
        <v>846</v>
      </c>
    </row>
    <row r="16" spans="1:10" ht="30.75" customHeight="1" x14ac:dyDescent="0.3">
      <c r="A16" s="539" t="s">
        <v>113</v>
      </c>
      <c r="B16" s="518">
        <v>45252</v>
      </c>
      <c r="C16" s="525"/>
      <c r="D16" s="527"/>
      <c r="E16" s="528">
        <v>500000</v>
      </c>
      <c r="F16" s="529"/>
      <c r="G16" s="559">
        <f t="shared" si="0"/>
        <v>5110507</v>
      </c>
      <c r="H16" s="530" t="s">
        <v>841</v>
      </c>
      <c r="I16" s="531" t="s">
        <v>842</v>
      </c>
      <c r="J16" s="525"/>
    </row>
    <row r="17" spans="1:10" ht="30.75" customHeight="1" x14ac:dyDescent="0.3">
      <c r="A17" s="539" t="s">
        <v>113</v>
      </c>
      <c r="B17" s="518">
        <v>45252</v>
      </c>
      <c r="C17" s="525"/>
      <c r="D17" s="527"/>
      <c r="E17" s="528">
        <v>1300000</v>
      </c>
      <c r="F17" s="529"/>
      <c r="G17" s="559">
        <f t="shared" si="0"/>
        <v>6410507</v>
      </c>
      <c r="H17" s="530" t="s">
        <v>351</v>
      </c>
      <c r="I17" s="531" t="s">
        <v>843</v>
      </c>
      <c r="J17" s="525"/>
    </row>
    <row r="18" spans="1:10" ht="30.75" customHeight="1" x14ac:dyDescent="0.3">
      <c r="A18" s="539" t="s">
        <v>113</v>
      </c>
      <c r="B18" s="518">
        <v>45252</v>
      </c>
      <c r="C18" s="525"/>
      <c r="D18" s="527">
        <v>1291</v>
      </c>
      <c r="E18" s="528">
        <v>46000</v>
      </c>
      <c r="F18" s="529"/>
      <c r="G18" s="559">
        <f t="shared" si="0"/>
        <v>6456507</v>
      </c>
      <c r="H18" s="530" t="s">
        <v>847</v>
      </c>
      <c r="I18" s="531" t="s">
        <v>848</v>
      </c>
      <c r="J18" s="525"/>
    </row>
    <row r="19" spans="1:10" ht="30.75" customHeight="1" x14ac:dyDescent="0.3">
      <c r="A19" s="539" t="s">
        <v>113</v>
      </c>
      <c r="B19" s="518">
        <v>45252</v>
      </c>
      <c r="C19" s="525">
        <v>1872</v>
      </c>
      <c r="D19" s="527"/>
      <c r="E19" s="528"/>
      <c r="F19" s="529">
        <v>8000</v>
      </c>
      <c r="G19" s="559">
        <f t="shared" si="0"/>
        <v>6448507</v>
      </c>
      <c r="H19" s="530" t="s">
        <v>233</v>
      </c>
      <c r="I19" s="531" t="s">
        <v>224</v>
      </c>
      <c r="J19" s="525"/>
    </row>
    <row r="20" spans="1:10" s="477" customFormat="1" ht="30.75" customHeight="1" x14ac:dyDescent="0.3">
      <c r="A20" s="540" t="s">
        <v>113</v>
      </c>
      <c r="B20" s="518">
        <v>45252</v>
      </c>
      <c r="C20" s="519">
        <v>1873</v>
      </c>
      <c r="D20" s="520"/>
      <c r="E20" s="521"/>
      <c r="F20" s="522">
        <v>500</v>
      </c>
      <c r="G20" s="559">
        <f t="shared" si="0"/>
        <v>6448007</v>
      </c>
      <c r="H20" s="523" t="s">
        <v>336</v>
      </c>
      <c r="I20" s="524" t="s">
        <v>224</v>
      </c>
      <c r="J20" s="519"/>
    </row>
    <row r="21" spans="1:10" ht="30.75" customHeight="1" x14ac:dyDescent="0.3">
      <c r="A21" s="539" t="s">
        <v>113</v>
      </c>
      <c r="B21" s="518">
        <v>45252</v>
      </c>
      <c r="C21" s="525">
        <v>1874</v>
      </c>
      <c r="D21" s="527"/>
      <c r="E21" s="528"/>
      <c r="F21" s="529">
        <v>200</v>
      </c>
      <c r="G21" s="559">
        <f t="shared" si="0"/>
        <v>6447807</v>
      </c>
      <c r="H21" s="530" t="s">
        <v>826</v>
      </c>
      <c r="I21" s="531" t="s">
        <v>224</v>
      </c>
      <c r="J21" s="525"/>
    </row>
    <row r="22" spans="1:10" ht="30.75" customHeight="1" x14ac:dyDescent="0.3">
      <c r="A22" s="539" t="s">
        <v>113</v>
      </c>
      <c r="B22" s="518">
        <v>45252</v>
      </c>
      <c r="C22" s="525">
        <v>1875</v>
      </c>
      <c r="D22" s="527"/>
      <c r="E22" s="528"/>
      <c r="F22" s="528">
        <v>500000</v>
      </c>
      <c r="G22" s="559">
        <f t="shared" ref="G22:G28" si="1">G21+E22-F22</f>
        <v>5947807</v>
      </c>
      <c r="H22" s="530" t="s">
        <v>841</v>
      </c>
      <c r="I22" s="531" t="s">
        <v>842</v>
      </c>
      <c r="J22" s="525"/>
    </row>
    <row r="23" spans="1:10" ht="30.75" customHeight="1" x14ac:dyDescent="0.3">
      <c r="A23" s="539" t="s">
        <v>113</v>
      </c>
      <c r="B23" s="518">
        <v>45252</v>
      </c>
      <c r="C23" s="525">
        <v>1876</v>
      </c>
      <c r="D23" s="527"/>
      <c r="E23" s="528"/>
      <c r="F23" s="528">
        <v>1300000</v>
      </c>
      <c r="G23" s="559">
        <f t="shared" si="1"/>
        <v>4647807</v>
      </c>
      <c r="H23" s="530" t="s">
        <v>351</v>
      </c>
      <c r="I23" s="531" t="s">
        <v>843</v>
      </c>
      <c r="J23" s="525"/>
    </row>
    <row r="24" spans="1:10" s="478" customFormat="1" ht="30.75" customHeight="1" x14ac:dyDescent="0.3">
      <c r="A24" s="541" t="s">
        <v>113</v>
      </c>
      <c r="B24" s="518">
        <v>45252</v>
      </c>
      <c r="C24" s="532"/>
      <c r="D24" s="533"/>
      <c r="E24" s="534">
        <v>322</v>
      </c>
      <c r="F24" s="535"/>
      <c r="G24" s="559">
        <f t="shared" si="1"/>
        <v>4648129</v>
      </c>
      <c r="H24" s="536" t="s">
        <v>825</v>
      </c>
      <c r="I24" s="537"/>
      <c r="J24" s="532"/>
    </row>
    <row r="25" spans="1:10" s="478" customFormat="1" ht="30.75" customHeight="1" x14ac:dyDescent="0.3">
      <c r="A25" s="541" t="s">
        <v>113</v>
      </c>
      <c r="B25" s="518">
        <v>45252</v>
      </c>
      <c r="C25" s="532"/>
      <c r="D25" s="533"/>
      <c r="E25" s="534"/>
      <c r="F25" s="535">
        <v>3000000</v>
      </c>
      <c r="G25" s="559">
        <f t="shared" si="1"/>
        <v>1648129</v>
      </c>
      <c r="H25" s="536" t="s">
        <v>499</v>
      </c>
      <c r="I25" s="537"/>
      <c r="J25" s="532"/>
    </row>
    <row r="26" spans="1:10" s="478" customFormat="1" ht="30.75" customHeight="1" x14ac:dyDescent="0.3">
      <c r="A26" s="541" t="s">
        <v>113</v>
      </c>
      <c r="B26" s="518">
        <v>45252</v>
      </c>
      <c r="C26" s="532"/>
      <c r="D26" s="533"/>
      <c r="E26" s="534"/>
      <c r="F26" s="535">
        <v>122</v>
      </c>
      <c r="G26" s="559">
        <f t="shared" si="1"/>
        <v>1648007</v>
      </c>
      <c r="H26" s="536" t="s">
        <v>338</v>
      </c>
      <c r="I26" s="537"/>
      <c r="J26" s="532"/>
    </row>
    <row r="27" spans="1:10" s="478" customFormat="1" ht="30.75" customHeight="1" x14ac:dyDescent="0.3">
      <c r="A27" s="541" t="s">
        <v>113</v>
      </c>
      <c r="B27" s="518">
        <v>45252</v>
      </c>
      <c r="C27" s="532"/>
      <c r="D27" s="533"/>
      <c r="E27" s="534"/>
      <c r="F27" s="535">
        <v>500000</v>
      </c>
      <c r="G27" s="559">
        <f t="shared" si="1"/>
        <v>1148007</v>
      </c>
      <c r="H27" s="536" t="s">
        <v>827</v>
      </c>
      <c r="I27" s="537" t="s">
        <v>828</v>
      </c>
      <c r="J27" s="532"/>
    </row>
    <row r="28" spans="1:10" s="478" customFormat="1" ht="30.75" customHeight="1" x14ac:dyDescent="0.3">
      <c r="A28" s="541" t="s">
        <v>113</v>
      </c>
      <c r="B28" s="518">
        <v>45252</v>
      </c>
      <c r="C28" s="532"/>
      <c r="D28" s="533"/>
      <c r="E28" s="534"/>
      <c r="F28" s="535">
        <v>1100</v>
      </c>
      <c r="G28" s="559">
        <f t="shared" si="1"/>
        <v>1146907</v>
      </c>
      <c r="H28" s="536" t="s">
        <v>829</v>
      </c>
      <c r="I28" s="537"/>
      <c r="J28" s="532"/>
    </row>
    <row r="29" spans="1:10" ht="19.5" thickBot="1" x14ac:dyDescent="0.35">
      <c r="A29" s="512"/>
      <c r="B29" s="480"/>
      <c r="C29" s="479"/>
      <c r="D29" s="479"/>
      <c r="E29" s="481"/>
      <c r="F29" s="482"/>
      <c r="G29" s="561"/>
      <c r="H29" s="484"/>
      <c r="I29" s="479"/>
      <c r="J29" s="479"/>
    </row>
    <row r="30" spans="1:10" s="493" customFormat="1" ht="36.75" customHeight="1" thickTop="1" x14ac:dyDescent="0.25">
      <c r="A30" s="509"/>
      <c r="B30" s="496" t="s">
        <v>127</v>
      </c>
      <c r="C30" s="497" t="s">
        <v>115</v>
      </c>
      <c r="D30" s="497" t="s">
        <v>814</v>
      </c>
      <c r="E30" s="497" t="s">
        <v>116</v>
      </c>
      <c r="F30" s="498" t="s">
        <v>180</v>
      </c>
      <c r="G30" s="499" t="s">
        <v>211</v>
      </c>
      <c r="H30" s="500"/>
      <c r="I30" s="501"/>
      <c r="J30" s="502"/>
    </row>
    <row r="31" spans="1:10" s="555" customFormat="1" ht="45" customHeight="1" thickBot="1" x14ac:dyDescent="0.25">
      <c r="A31" s="551"/>
      <c r="B31" s="552">
        <f>$G$3</f>
        <v>330220</v>
      </c>
      <c r="C31" s="549">
        <f>SUMIF(A4:A28,B1,E4:E$28)</f>
        <v>5309084</v>
      </c>
      <c r="D31" s="549">
        <f>SUMIF(A4:A28,B1,F4:$F$28)</f>
        <v>5309922</v>
      </c>
      <c r="E31" s="549">
        <f>SUMIF(A3:A28,A1,E3:$E$28)</f>
        <v>817525</v>
      </c>
      <c r="F31" s="549">
        <f>SUMIF(A3:A28,A1,F3:$F$28)</f>
        <v>0</v>
      </c>
      <c r="G31" s="550">
        <f>+B31+C31+E31-D31-F31</f>
        <v>1146907</v>
      </c>
      <c r="H31" s="553"/>
      <c r="I31" s="554"/>
      <c r="J31" s="554"/>
    </row>
    <row r="32" spans="1:10" s="493" customFormat="1" ht="44.25" customHeight="1" thickTop="1" x14ac:dyDescent="0.25">
      <c r="A32" s="511"/>
      <c r="B32" s="494"/>
      <c r="C32" s="508">
        <f>+B31+C31-D31</f>
        <v>329382</v>
      </c>
      <c r="D32" s="578" t="s">
        <v>181</v>
      </c>
      <c r="E32" s="578"/>
      <c r="F32" s="578"/>
      <c r="G32" s="495"/>
      <c r="H32" s="506"/>
      <c r="I32" s="494"/>
      <c r="J32" s="494"/>
    </row>
    <row r="33" spans="1:10" x14ac:dyDescent="0.3">
      <c r="A33" s="511"/>
      <c r="B33" s="475"/>
      <c r="C33" s="486"/>
      <c r="D33" s="579" t="s">
        <v>278</v>
      </c>
      <c r="E33" s="579"/>
      <c r="F33" s="579"/>
      <c r="G33" s="495"/>
      <c r="H33" s="485"/>
      <c r="I33" s="475"/>
      <c r="J33" s="475"/>
    </row>
    <row r="34" spans="1:10" x14ac:dyDescent="0.3">
      <c r="A34" s="511"/>
      <c r="B34" s="475"/>
      <c r="C34" s="486"/>
      <c r="D34" s="487" t="s">
        <v>279</v>
      </c>
      <c r="E34" s="487" t="s">
        <v>280</v>
      </c>
      <c r="F34" s="487" t="s">
        <v>281</v>
      </c>
      <c r="G34" s="495"/>
      <c r="H34" s="485"/>
      <c r="I34" s="475"/>
      <c r="J34" s="475"/>
    </row>
    <row r="35" spans="1:10" ht="24.75" customHeight="1" x14ac:dyDescent="0.3">
      <c r="A35" s="511"/>
      <c r="B35" s="475"/>
      <c r="C35" s="475"/>
      <c r="D35" s="488">
        <v>307</v>
      </c>
      <c r="E35" s="489">
        <v>200</v>
      </c>
      <c r="F35" s="489">
        <f>+E35*D35</f>
        <v>61400</v>
      </c>
      <c r="G35" s="495"/>
      <c r="H35" s="485"/>
      <c r="I35" s="475"/>
      <c r="J35" s="475"/>
    </row>
    <row r="36" spans="1:10" ht="24.75" customHeight="1" x14ac:dyDescent="0.3">
      <c r="A36" s="511"/>
      <c r="B36" s="475"/>
      <c r="C36" s="475"/>
      <c r="D36" s="488">
        <v>510</v>
      </c>
      <c r="E36" s="489">
        <v>100</v>
      </c>
      <c r="F36" s="489">
        <f t="shared" ref="F36:F41" si="2">+E36*D36</f>
        <v>51000</v>
      </c>
      <c r="G36" s="495"/>
      <c r="H36" s="485"/>
      <c r="I36" s="475"/>
      <c r="J36" s="475"/>
    </row>
    <row r="37" spans="1:10" ht="24.75" customHeight="1" x14ac:dyDescent="0.3">
      <c r="A37" s="511"/>
      <c r="B37" s="475"/>
      <c r="C37" s="475"/>
      <c r="D37" s="488">
        <f>4000+326</f>
        <v>4326</v>
      </c>
      <c r="E37" s="489">
        <v>50</v>
      </c>
      <c r="F37" s="489">
        <f t="shared" si="2"/>
        <v>216300</v>
      </c>
      <c r="G37" s="495"/>
      <c r="H37" s="485"/>
      <c r="I37" s="475"/>
      <c r="J37" s="475"/>
    </row>
    <row r="38" spans="1:10" ht="24.75" customHeight="1" x14ac:dyDescent="0.3">
      <c r="A38" s="511"/>
      <c r="B38" s="475"/>
      <c r="C38" s="475"/>
      <c r="D38" s="488">
        <v>15</v>
      </c>
      <c r="E38" s="489">
        <v>20</v>
      </c>
      <c r="F38" s="489">
        <f t="shared" si="2"/>
        <v>300</v>
      </c>
      <c r="G38" s="495"/>
      <c r="H38" s="485"/>
      <c r="I38" s="475"/>
      <c r="J38" s="475"/>
    </row>
    <row r="39" spans="1:10" ht="24.75" customHeight="1" x14ac:dyDescent="0.3">
      <c r="A39" s="511"/>
      <c r="B39" s="475"/>
      <c r="C39" s="475"/>
      <c r="D39" s="488">
        <v>35</v>
      </c>
      <c r="E39" s="489">
        <v>10</v>
      </c>
      <c r="F39" s="489">
        <f t="shared" si="2"/>
        <v>350</v>
      </c>
      <c r="G39" s="495"/>
      <c r="H39" s="485"/>
      <c r="I39" s="475"/>
      <c r="J39" s="475"/>
    </row>
    <row r="40" spans="1:10" ht="24.75" customHeight="1" x14ac:dyDescent="0.3">
      <c r="A40" s="511"/>
      <c r="B40" s="475"/>
      <c r="C40" s="475"/>
      <c r="D40" s="488">
        <v>1</v>
      </c>
      <c r="E40" s="489">
        <v>5</v>
      </c>
      <c r="F40" s="489">
        <f t="shared" si="2"/>
        <v>5</v>
      </c>
      <c r="G40" s="495"/>
      <c r="H40" s="485"/>
      <c r="I40" s="475"/>
      <c r="J40" s="475"/>
    </row>
    <row r="41" spans="1:10" ht="24.75" customHeight="1" thickBot="1" x14ac:dyDescent="0.35">
      <c r="A41" s="511"/>
      <c r="B41" s="475"/>
      <c r="C41" s="475"/>
      <c r="D41" s="488">
        <v>29</v>
      </c>
      <c r="E41" s="489">
        <v>1</v>
      </c>
      <c r="F41" s="489">
        <f t="shared" si="2"/>
        <v>29</v>
      </c>
      <c r="G41" s="495"/>
      <c r="H41" s="485"/>
      <c r="I41" s="475"/>
      <c r="J41" s="475"/>
    </row>
    <row r="42" spans="1:10" ht="27.75" customHeight="1" x14ac:dyDescent="0.3">
      <c r="A42" s="511"/>
      <c r="B42" s="475"/>
      <c r="C42" s="475"/>
      <c r="D42" s="580" t="s">
        <v>283</v>
      </c>
      <c r="E42" s="581"/>
      <c r="F42" s="490">
        <f>SUM(F35:F41)</f>
        <v>329384</v>
      </c>
      <c r="G42" s="495"/>
      <c r="H42" s="485"/>
      <c r="I42" s="475"/>
      <c r="J42" s="475"/>
    </row>
    <row r="43" spans="1:10" ht="27.75" customHeight="1" x14ac:dyDescent="0.3">
      <c r="A43" s="511"/>
      <c r="B43" s="475"/>
      <c r="C43" s="475"/>
      <c r="D43" s="582" t="s">
        <v>282</v>
      </c>
      <c r="E43" s="583"/>
      <c r="F43" s="491">
        <f>C32</f>
        <v>329382</v>
      </c>
      <c r="G43" s="495"/>
      <c r="H43" s="485"/>
      <c r="I43" s="475"/>
      <c r="J43" s="475"/>
    </row>
    <row r="44" spans="1:10" ht="28.5" customHeight="1" thickBot="1" x14ac:dyDescent="0.35">
      <c r="A44" s="511"/>
      <c r="B44" s="475"/>
      <c r="C44" s="475"/>
      <c r="D44" s="584" t="s">
        <v>284</v>
      </c>
      <c r="E44" s="585"/>
      <c r="F44" s="492">
        <f>+F42-F43</f>
        <v>2</v>
      </c>
      <c r="G44" s="495"/>
      <c r="H44" s="485"/>
      <c r="I44" s="475"/>
      <c r="J44" s="475"/>
    </row>
  </sheetData>
  <mergeCells count="5">
    <mergeCell ref="D32:F32"/>
    <mergeCell ref="D33:F33"/>
    <mergeCell ref="D42:E42"/>
    <mergeCell ref="D43:E43"/>
    <mergeCell ref="D44:E44"/>
  </mergeCells>
  <conditionalFormatting sqref="A1">
    <cfRule type="cellIs" dxfId="5" priority="7" operator="equal">
      <formula>#REF!</formula>
    </cfRule>
  </conditionalFormatting>
  <conditionalFormatting sqref="A2:A21 A29:A35 A42:A44">
    <cfRule type="cellIs" dxfId="4" priority="9" operator="equal">
      <formula>#REF!</formula>
    </cfRule>
  </conditionalFormatting>
  <conditionalFormatting sqref="A22:A28">
    <cfRule type="cellIs" dxfId="3" priority="1" operator="equal">
      <formula>#REF!</formula>
    </cfRule>
  </conditionalFormatting>
  <conditionalFormatting sqref="A36:A41">
    <cfRule type="cellIs" dxfId="2" priority="5" operator="equal">
      <formula>#REF!</formula>
    </cfRule>
  </conditionalFormatting>
  <conditionalFormatting sqref="B1">
    <cfRule type="cellIs" dxfId="1" priority="6" operator="equal">
      <formula>#REF!</formula>
    </cfRule>
  </conditionalFormatting>
  <conditionalFormatting sqref="C2:D2">
    <cfRule type="duplicateValues" dxfId="0" priority="8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48"/>
  <sheetViews>
    <sheetView showGridLines="0" rightToLeft="1" zoomScale="40" zoomScaleNormal="40" workbookViewId="0">
      <pane ySplit="1" topLeftCell="A11" activePane="bottomLeft" state="frozen"/>
      <selection pane="bottomLeft" activeCell="E16" sqref="E16"/>
    </sheetView>
  </sheetViews>
  <sheetFormatPr defaultColWidth="17.140625" defaultRowHeight="15" x14ac:dyDescent="0.25"/>
  <cols>
    <col min="1" max="1" width="23.28515625" style="30" customWidth="1"/>
    <col min="2" max="2" width="27.5703125" style="30" bestFit="1" customWidth="1"/>
    <col min="3" max="3" width="30.42578125" style="30" bestFit="1" customWidth="1"/>
    <col min="4" max="4" width="33.85546875" style="30" bestFit="1" customWidth="1"/>
    <col min="5" max="5" width="33.28515625" style="30" bestFit="1" customWidth="1"/>
    <col min="6" max="6" width="33.85546875" style="30" bestFit="1" customWidth="1"/>
    <col min="7" max="7" width="37.5703125" style="30" customWidth="1"/>
    <col min="8" max="8" width="70.140625" style="30" customWidth="1"/>
    <col min="9" max="9" width="56.140625" style="30" customWidth="1"/>
    <col min="10" max="10" width="31.5703125" style="30" customWidth="1"/>
    <col min="11" max="11" width="27.5703125" style="30" bestFit="1" customWidth="1"/>
    <col min="12" max="16384" width="17.140625" style="30"/>
  </cols>
  <sheetData>
    <row r="1" spans="1:11" s="85" customFormat="1" ht="75.75" customHeight="1" thickBot="1" x14ac:dyDescent="0.3">
      <c r="A1" s="81" t="s">
        <v>132</v>
      </c>
      <c r="B1" s="82" t="s">
        <v>1</v>
      </c>
      <c r="C1" s="83" t="s">
        <v>86</v>
      </c>
      <c r="D1" s="83" t="s">
        <v>163</v>
      </c>
      <c r="E1" s="84" t="s">
        <v>2</v>
      </c>
      <c r="F1" s="84" t="s">
        <v>3</v>
      </c>
      <c r="G1" s="84" t="s">
        <v>4</v>
      </c>
      <c r="H1" s="83" t="s">
        <v>92</v>
      </c>
      <c r="I1" s="83" t="s">
        <v>6</v>
      </c>
      <c r="J1" s="83" t="s">
        <v>7</v>
      </c>
    </row>
    <row r="2" spans="1:11" s="55" customFormat="1" ht="54.75" customHeight="1" x14ac:dyDescent="0.25">
      <c r="B2" s="56"/>
      <c r="E2" s="57"/>
      <c r="F2" s="57"/>
      <c r="G2" s="57">
        <v>74974</v>
      </c>
      <c r="H2" s="55" t="s">
        <v>129</v>
      </c>
      <c r="I2" s="58"/>
    </row>
    <row r="3" spans="1:11" s="55" customFormat="1" ht="54.75" customHeight="1" x14ac:dyDescent="0.25">
      <c r="B3" s="56"/>
      <c r="E3" s="64"/>
      <c r="F3" s="64"/>
      <c r="G3" s="64">
        <f t="shared" ref="G3:G13" si="0">+G2+E3-F3</f>
        <v>74974</v>
      </c>
      <c r="I3" s="58"/>
    </row>
    <row r="4" spans="1:11" s="55" customFormat="1" ht="54.75" customHeight="1" x14ac:dyDescent="0.25">
      <c r="A4" s="59" t="s">
        <v>113</v>
      </c>
      <c r="B4" s="60">
        <v>45208</v>
      </c>
      <c r="C4" s="59">
        <v>1569</v>
      </c>
      <c r="D4" s="59"/>
      <c r="E4" s="61"/>
      <c r="F4" s="61">
        <v>50000</v>
      </c>
      <c r="G4" s="61">
        <f>+G3+E4-F4</f>
        <v>24974</v>
      </c>
      <c r="H4" s="62" t="s">
        <v>164</v>
      </c>
      <c r="I4" s="62" t="s">
        <v>77</v>
      </c>
      <c r="J4" s="59"/>
    </row>
    <row r="5" spans="1:11" s="55" customFormat="1" ht="54.75" customHeight="1" x14ac:dyDescent="0.25">
      <c r="A5" s="55" t="s">
        <v>114</v>
      </c>
      <c r="B5" s="56">
        <v>45208</v>
      </c>
      <c r="D5" s="55">
        <v>1156</v>
      </c>
      <c r="E5" s="64">
        <v>60000</v>
      </c>
      <c r="F5" s="64"/>
      <c r="G5" s="64">
        <f t="shared" si="0"/>
        <v>84974</v>
      </c>
      <c r="H5" s="58" t="s">
        <v>165</v>
      </c>
      <c r="I5" s="58" t="s">
        <v>166</v>
      </c>
    </row>
    <row r="6" spans="1:11" s="55" customFormat="1" ht="54.75" customHeight="1" x14ac:dyDescent="0.25">
      <c r="A6" s="55" t="s">
        <v>114</v>
      </c>
      <c r="B6" s="60">
        <v>45208</v>
      </c>
      <c r="C6" s="59"/>
      <c r="D6" s="59">
        <v>1157</v>
      </c>
      <c r="E6" s="61">
        <v>60000</v>
      </c>
      <c r="F6" s="61"/>
      <c r="G6" s="61">
        <f t="shared" si="0"/>
        <v>144974</v>
      </c>
      <c r="H6" s="62" t="s">
        <v>165</v>
      </c>
      <c r="I6" s="62" t="s">
        <v>167</v>
      </c>
      <c r="J6" s="59"/>
    </row>
    <row r="7" spans="1:11" s="55" customFormat="1" ht="54.75" customHeight="1" x14ac:dyDescent="0.25">
      <c r="A7" s="55" t="s">
        <v>114</v>
      </c>
      <c r="B7" s="56">
        <v>45208</v>
      </c>
      <c r="D7" s="55">
        <v>1158</v>
      </c>
      <c r="E7" s="64">
        <v>50000</v>
      </c>
      <c r="F7" s="64"/>
      <c r="G7" s="64">
        <f t="shared" si="0"/>
        <v>194974</v>
      </c>
      <c r="H7" s="58" t="s">
        <v>168</v>
      </c>
      <c r="I7" s="58" t="s">
        <v>169</v>
      </c>
    </row>
    <row r="8" spans="1:11" s="55" customFormat="1" ht="54.75" customHeight="1" x14ac:dyDescent="0.25">
      <c r="A8" s="55" t="s">
        <v>114</v>
      </c>
      <c r="B8" s="60">
        <v>45208</v>
      </c>
      <c r="C8" s="59"/>
      <c r="D8" s="59">
        <v>1159</v>
      </c>
      <c r="E8" s="61">
        <v>30000</v>
      </c>
      <c r="F8" s="61"/>
      <c r="G8" s="61">
        <f t="shared" si="0"/>
        <v>224974</v>
      </c>
      <c r="H8" s="62" t="s">
        <v>170</v>
      </c>
      <c r="I8" s="62" t="s">
        <v>171</v>
      </c>
      <c r="J8" s="59"/>
    </row>
    <row r="9" spans="1:11" s="55" customFormat="1" ht="54.75" customHeight="1" x14ac:dyDescent="0.25">
      <c r="A9" s="55" t="s">
        <v>114</v>
      </c>
      <c r="B9" s="56">
        <v>45208</v>
      </c>
      <c r="D9" s="55">
        <v>1160</v>
      </c>
      <c r="E9" s="64">
        <v>105000</v>
      </c>
      <c r="F9" s="64"/>
      <c r="G9" s="64">
        <f t="shared" si="0"/>
        <v>329974</v>
      </c>
      <c r="H9" s="58" t="s">
        <v>172</v>
      </c>
      <c r="I9" s="58" t="s">
        <v>173</v>
      </c>
    </row>
    <row r="10" spans="1:11" s="55" customFormat="1" ht="54.75" customHeight="1" x14ac:dyDescent="0.25">
      <c r="A10" s="55" t="s">
        <v>114</v>
      </c>
      <c r="B10" s="60">
        <v>45208</v>
      </c>
      <c r="C10" s="59"/>
      <c r="D10" s="59">
        <v>1161</v>
      </c>
      <c r="E10" s="61">
        <v>100000</v>
      </c>
      <c r="F10" s="61"/>
      <c r="G10" s="61">
        <f t="shared" si="0"/>
        <v>429974</v>
      </c>
      <c r="H10" s="91" t="s">
        <v>174</v>
      </c>
      <c r="I10" s="62" t="s">
        <v>175</v>
      </c>
      <c r="J10" s="59"/>
    </row>
    <row r="11" spans="1:11" s="55" customFormat="1" ht="54.75" customHeight="1" x14ac:dyDescent="0.25">
      <c r="A11" s="55" t="s">
        <v>114</v>
      </c>
      <c r="B11" s="56">
        <v>45208</v>
      </c>
      <c r="D11" s="55" t="s">
        <v>297</v>
      </c>
      <c r="E11" s="193">
        <v>700000</v>
      </c>
      <c r="F11" s="64"/>
      <c r="G11" s="64">
        <f t="shared" si="0"/>
        <v>1129974</v>
      </c>
      <c r="H11" s="58" t="s">
        <v>176</v>
      </c>
      <c r="I11" s="58" t="s">
        <v>177</v>
      </c>
    </row>
    <row r="12" spans="1:11" s="55" customFormat="1" ht="54.75" customHeight="1" x14ac:dyDescent="0.25">
      <c r="A12" s="55" t="s">
        <v>114</v>
      </c>
      <c r="B12" s="60">
        <v>45208</v>
      </c>
      <c r="C12" s="59"/>
      <c r="D12" s="59"/>
      <c r="E12" s="61">
        <v>100000</v>
      </c>
      <c r="F12" s="61"/>
      <c r="G12" s="61">
        <f t="shared" si="0"/>
        <v>1229974</v>
      </c>
      <c r="H12" s="62" t="s">
        <v>178</v>
      </c>
      <c r="I12" s="62"/>
      <c r="J12" s="59"/>
    </row>
    <row r="13" spans="1:11" s="55" customFormat="1" ht="54.75" customHeight="1" x14ac:dyDescent="0.25">
      <c r="A13" s="55" t="s">
        <v>114</v>
      </c>
      <c r="B13" s="56">
        <v>45208</v>
      </c>
      <c r="C13" s="55">
        <v>1570</v>
      </c>
      <c r="E13" s="64"/>
      <c r="F13" s="64">
        <v>100000</v>
      </c>
      <c r="G13" s="64">
        <f t="shared" si="0"/>
        <v>1129974</v>
      </c>
      <c r="H13" s="58" t="s">
        <v>69</v>
      </c>
      <c r="I13" s="58"/>
    </row>
    <row r="14" spans="1:11" ht="66" customHeight="1" thickBot="1" x14ac:dyDescent="0.3">
      <c r="A14" s="55" t="s">
        <v>114</v>
      </c>
      <c r="B14" s="29"/>
      <c r="E14" s="31"/>
      <c r="F14" s="54">
        <v>1105000</v>
      </c>
      <c r="G14" s="31"/>
      <c r="H14" s="58" t="s">
        <v>210</v>
      </c>
      <c r="I14" s="32"/>
    </row>
    <row r="15" spans="1:11" s="33" customFormat="1" ht="72.75" customHeight="1" thickTop="1" x14ac:dyDescent="0.25">
      <c r="B15" s="74" t="s">
        <v>127</v>
      </c>
      <c r="C15" s="75" t="s">
        <v>115</v>
      </c>
      <c r="D15" s="75" t="s">
        <v>179</v>
      </c>
      <c r="E15" s="75" t="s">
        <v>116</v>
      </c>
      <c r="F15" s="76" t="s">
        <v>180</v>
      </c>
      <c r="G15" s="77" t="s">
        <v>211</v>
      </c>
      <c r="I15" s="87"/>
      <c r="J15" s="87"/>
      <c r="K15" s="87"/>
    </row>
    <row r="16" spans="1:11" s="65" customFormat="1" ht="81.75" customHeight="1" thickBot="1" x14ac:dyDescent="0.3">
      <c r="B16" s="86">
        <f>$G$2</f>
        <v>74974</v>
      </c>
      <c r="C16" s="67">
        <f>SUMIF(A3:A14,A4,E3:E14)</f>
        <v>0</v>
      </c>
      <c r="D16" s="67">
        <f>SUMIF(A2:A13,A4,F2:F14)</f>
        <v>50000</v>
      </c>
      <c r="E16" s="67">
        <f>SUMIF(A2:A14,A5,E2:E14)</f>
        <v>1205000</v>
      </c>
      <c r="F16" s="67">
        <f>SUMIF(A2:A14,A5,F2:F14)</f>
        <v>1205000</v>
      </c>
      <c r="G16" s="68">
        <f>+B16+C16+E16-D16-F16</f>
        <v>24974</v>
      </c>
      <c r="I16" s="88"/>
      <c r="J16" s="88"/>
      <c r="K16" s="88"/>
    </row>
    <row r="17" spans="3:9" ht="60.75" customHeight="1" thickTop="1" x14ac:dyDescent="0.25">
      <c r="E17" s="31"/>
      <c r="F17" s="31"/>
      <c r="G17" s="31"/>
      <c r="H17" s="65"/>
      <c r="I17" s="73"/>
    </row>
    <row r="18" spans="3:9" ht="111.75" customHeight="1" x14ac:dyDescent="0.25">
      <c r="C18" s="89">
        <f>+B16+C16-D16</f>
        <v>24974</v>
      </c>
      <c r="D18" s="90" t="s">
        <v>181</v>
      </c>
      <c r="E18" s="53"/>
      <c r="F18" s="31"/>
      <c r="G18" s="31"/>
    </row>
    <row r="19" spans="3:9" ht="32.25" customHeight="1" x14ac:dyDescent="0.25">
      <c r="E19" s="31"/>
      <c r="F19" s="31"/>
      <c r="G19" s="31"/>
    </row>
    <row r="20" spans="3:9" ht="32.25" customHeight="1" x14ac:dyDescent="0.25">
      <c r="E20" s="31"/>
      <c r="F20" s="31"/>
      <c r="G20" s="31"/>
    </row>
    <row r="21" spans="3:9" ht="32.25" customHeight="1" x14ac:dyDescent="0.25">
      <c r="E21" s="31"/>
      <c r="F21" s="31"/>
      <c r="G21" s="31"/>
    </row>
    <row r="22" spans="3:9" ht="32.25" customHeight="1" x14ac:dyDescent="0.25">
      <c r="E22" s="31"/>
      <c r="F22" s="31"/>
      <c r="G22" s="31"/>
    </row>
    <row r="23" spans="3:9" ht="32.25" customHeight="1" x14ac:dyDescent="0.25">
      <c r="E23" s="31"/>
      <c r="F23" s="31"/>
      <c r="G23" s="31"/>
    </row>
    <row r="24" spans="3:9" ht="32.25" customHeight="1" x14ac:dyDescent="0.25">
      <c r="E24" s="31"/>
      <c r="F24" s="31"/>
      <c r="G24" s="31"/>
    </row>
    <row r="25" spans="3:9" ht="32.25" customHeight="1" x14ac:dyDescent="0.25">
      <c r="E25" s="31"/>
      <c r="F25" s="31"/>
      <c r="G25" s="31"/>
    </row>
    <row r="26" spans="3:9" ht="32.25" customHeight="1" x14ac:dyDescent="0.25">
      <c r="E26" s="31"/>
      <c r="F26" s="31"/>
      <c r="G26" s="31"/>
    </row>
    <row r="27" spans="3:9" ht="32.25" customHeight="1" x14ac:dyDescent="0.25">
      <c r="E27" s="31"/>
      <c r="F27" s="31"/>
      <c r="G27" s="31"/>
    </row>
    <row r="28" spans="3:9" ht="32.25" customHeight="1" x14ac:dyDescent="0.25">
      <c r="E28" s="31"/>
      <c r="F28" s="31"/>
      <c r="G28" s="31"/>
    </row>
    <row r="29" spans="3:9" ht="32.25" customHeight="1" x14ac:dyDescent="0.25">
      <c r="E29" s="31"/>
      <c r="F29" s="31"/>
      <c r="G29" s="31"/>
    </row>
    <row r="30" spans="3:9" ht="32.25" customHeight="1" x14ac:dyDescent="0.25">
      <c r="E30" s="31"/>
      <c r="F30" s="31"/>
      <c r="G30" s="31"/>
    </row>
    <row r="31" spans="3:9" ht="32.25" customHeight="1" x14ac:dyDescent="0.25">
      <c r="E31" s="31"/>
      <c r="F31" s="31"/>
      <c r="G31" s="31"/>
    </row>
    <row r="32" spans="3:9" ht="32.25" customHeight="1" x14ac:dyDescent="0.25">
      <c r="E32" s="31"/>
      <c r="F32" s="31"/>
      <c r="G32" s="31"/>
    </row>
    <row r="33" spans="5:7" ht="32.25" customHeight="1" x14ac:dyDescent="0.25">
      <c r="E33" s="31"/>
      <c r="F33" s="31"/>
      <c r="G33" s="31"/>
    </row>
    <row r="34" spans="5:7" ht="32.25" customHeight="1" x14ac:dyDescent="0.25">
      <c r="E34" s="31"/>
      <c r="F34" s="31"/>
      <c r="G34" s="31"/>
    </row>
    <row r="35" spans="5:7" ht="32.25" customHeight="1" x14ac:dyDescent="0.25">
      <c r="E35" s="31"/>
      <c r="F35" s="31"/>
      <c r="G35" s="31"/>
    </row>
    <row r="36" spans="5:7" ht="32.25" customHeight="1" x14ac:dyDescent="0.25">
      <c r="E36" s="31"/>
      <c r="F36" s="31"/>
      <c r="G36" s="31"/>
    </row>
    <row r="37" spans="5:7" ht="32.25" customHeight="1" x14ac:dyDescent="0.25">
      <c r="E37" s="31"/>
      <c r="F37" s="31"/>
      <c r="G37" s="31"/>
    </row>
    <row r="38" spans="5:7" ht="32.25" customHeight="1" x14ac:dyDescent="0.25">
      <c r="E38" s="31"/>
      <c r="F38" s="31"/>
      <c r="G38" s="31"/>
    </row>
    <row r="39" spans="5:7" ht="32.25" customHeight="1" x14ac:dyDescent="0.25">
      <c r="E39" s="31"/>
      <c r="F39" s="31"/>
      <c r="G39" s="31"/>
    </row>
    <row r="40" spans="5:7" ht="32.25" customHeight="1" x14ac:dyDescent="0.25">
      <c r="E40" s="31"/>
      <c r="F40" s="31"/>
      <c r="G40" s="31"/>
    </row>
    <row r="41" spans="5:7" ht="32.25" customHeight="1" x14ac:dyDescent="0.25">
      <c r="E41" s="31"/>
      <c r="F41" s="31"/>
      <c r="G41" s="31"/>
    </row>
    <row r="42" spans="5:7" ht="32.25" customHeight="1" x14ac:dyDescent="0.25">
      <c r="E42" s="31"/>
      <c r="F42" s="31"/>
      <c r="G42" s="31"/>
    </row>
    <row r="43" spans="5:7" ht="32.25" customHeight="1" x14ac:dyDescent="0.25">
      <c r="E43" s="31"/>
      <c r="F43" s="31"/>
      <c r="G43" s="31"/>
    </row>
    <row r="44" spans="5:7" ht="32.25" customHeight="1" x14ac:dyDescent="0.25">
      <c r="E44" s="31"/>
      <c r="F44" s="31"/>
      <c r="G44" s="31"/>
    </row>
    <row r="45" spans="5:7" ht="32.25" customHeight="1" x14ac:dyDescent="0.25">
      <c r="E45" s="31"/>
      <c r="F45" s="31"/>
      <c r="G45" s="31"/>
    </row>
    <row r="46" spans="5:7" ht="32.25" customHeight="1" x14ac:dyDescent="0.25">
      <c r="E46" s="31"/>
      <c r="F46" s="31"/>
      <c r="G46" s="31"/>
    </row>
    <row r="47" spans="5:7" ht="32.25" customHeight="1" x14ac:dyDescent="0.25"/>
    <row r="48" spans="5:7" ht="32.25" customHeight="1" x14ac:dyDescent="0.25"/>
  </sheetData>
  <conditionalFormatting sqref="A1:A1048576">
    <cfRule type="cellIs" dxfId="222" priority="10" operator="equal">
      <formula>#REF!</formula>
    </cfRule>
  </conditionalFormatting>
  <conditionalFormatting sqref="C1:D1">
    <cfRule type="duplicateValues" dxfId="221" priority="2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54"/>
  <sheetViews>
    <sheetView showGridLines="0" rightToLeft="1" topLeftCell="A17" zoomScale="25" zoomScaleNormal="25" workbookViewId="0">
      <selection activeCell="E18" sqref="E18"/>
    </sheetView>
  </sheetViews>
  <sheetFormatPr defaultColWidth="17.140625" defaultRowHeight="46.5" x14ac:dyDescent="0.25"/>
  <cols>
    <col min="1" max="1" width="36.140625" style="92" bestFit="1" customWidth="1"/>
    <col min="2" max="2" width="45.140625" style="92" bestFit="1" customWidth="1"/>
    <col min="3" max="3" width="44.42578125" style="92" bestFit="1" customWidth="1"/>
    <col min="4" max="4" width="68.140625" style="92" bestFit="1" customWidth="1"/>
    <col min="5" max="5" width="70.140625" style="92" bestFit="1" customWidth="1"/>
    <col min="6" max="6" width="72.140625" style="92" bestFit="1" customWidth="1"/>
    <col min="7" max="7" width="75.140625" style="92" customWidth="1"/>
    <col min="8" max="8" width="95.7109375" style="95" customWidth="1"/>
    <col min="9" max="9" width="149.85546875" style="92" bestFit="1" customWidth="1"/>
    <col min="10" max="10" width="48.85546875" style="92" customWidth="1"/>
    <col min="11" max="11" width="27.5703125" style="92" bestFit="1" customWidth="1"/>
    <col min="12" max="16384" width="17.140625" style="92"/>
  </cols>
  <sheetData>
    <row r="1" spans="1:10" s="125" customFormat="1" ht="189.75" customHeight="1" thickBot="1" x14ac:dyDescent="0.3">
      <c r="A1" s="121" t="s">
        <v>132</v>
      </c>
      <c r="B1" s="122" t="s">
        <v>1</v>
      </c>
      <c r="C1" s="123" t="s">
        <v>86</v>
      </c>
      <c r="D1" s="123" t="s">
        <v>163</v>
      </c>
      <c r="E1" s="124" t="s">
        <v>2</v>
      </c>
      <c r="F1" s="124" t="s">
        <v>3</v>
      </c>
      <c r="G1" s="124" t="s">
        <v>4</v>
      </c>
      <c r="H1" s="123" t="s">
        <v>92</v>
      </c>
      <c r="I1" s="123" t="s">
        <v>6</v>
      </c>
      <c r="J1" s="123" t="s">
        <v>7</v>
      </c>
    </row>
    <row r="2" spans="1:10" ht="54.75" customHeight="1" x14ac:dyDescent="0.25">
      <c r="B2" s="93"/>
      <c r="E2" s="94"/>
      <c r="F2" s="94"/>
      <c r="G2" s="94">
        <v>24974</v>
      </c>
      <c r="H2" s="95" t="s">
        <v>129</v>
      </c>
      <c r="I2" s="95"/>
    </row>
    <row r="3" spans="1:10" ht="54.75" customHeight="1" x14ac:dyDescent="0.25">
      <c r="A3" s="96"/>
      <c r="B3" s="97"/>
      <c r="C3" s="96"/>
      <c r="D3" s="96"/>
      <c r="E3" s="98"/>
      <c r="F3" s="98"/>
      <c r="G3" s="98">
        <f t="shared" ref="G3:G20" si="0">+G2+E3-F3</f>
        <v>24974</v>
      </c>
      <c r="H3" s="99"/>
      <c r="I3" s="99"/>
      <c r="J3" s="96"/>
    </row>
    <row r="4" spans="1:10" s="112" customFormat="1" ht="103.5" customHeight="1" x14ac:dyDescent="0.25">
      <c r="A4" s="112" t="s">
        <v>113</v>
      </c>
      <c r="B4" s="113">
        <v>45209</v>
      </c>
      <c r="D4" s="112">
        <v>1162</v>
      </c>
      <c r="E4" s="114">
        <v>20000</v>
      </c>
      <c r="F4" s="114"/>
      <c r="G4" s="114">
        <f>+G3+E4-F4</f>
        <v>44974</v>
      </c>
      <c r="H4" s="115" t="s">
        <v>191</v>
      </c>
      <c r="I4" s="115" t="s">
        <v>192</v>
      </c>
    </row>
    <row r="5" spans="1:10" s="112" customFormat="1" ht="103.5" customHeight="1" x14ac:dyDescent="0.25">
      <c r="A5" s="116" t="s">
        <v>114</v>
      </c>
      <c r="B5" s="117">
        <v>45209</v>
      </c>
      <c r="C5" s="116"/>
      <c r="D5" s="116">
        <v>1163</v>
      </c>
      <c r="E5" s="118">
        <v>50000</v>
      </c>
      <c r="F5" s="118"/>
      <c r="G5" s="118">
        <f t="shared" si="0"/>
        <v>94974</v>
      </c>
      <c r="H5" s="119" t="s">
        <v>193</v>
      </c>
      <c r="I5" s="119" t="s">
        <v>194</v>
      </c>
      <c r="J5" s="116"/>
    </row>
    <row r="6" spans="1:10" s="112" customFormat="1" ht="103.5" customHeight="1" x14ac:dyDescent="0.25">
      <c r="B6" s="113">
        <v>45209</v>
      </c>
      <c r="D6" s="112">
        <v>1164</v>
      </c>
      <c r="E6" s="114">
        <v>0</v>
      </c>
      <c r="F6" s="114"/>
      <c r="G6" s="114">
        <f t="shared" si="0"/>
        <v>94974</v>
      </c>
      <c r="H6" s="115" t="s">
        <v>190</v>
      </c>
      <c r="I6" s="115"/>
    </row>
    <row r="7" spans="1:10" s="112" customFormat="1" ht="103.5" customHeight="1" x14ac:dyDescent="0.25">
      <c r="A7" s="116" t="s">
        <v>114</v>
      </c>
      <c r="B7" s="117">
        <v>45209</v>
      </c>
      <c r="C7" s="116"/>
      <c r="D7" s="116">
        <v>1165</v>
      </c>
      <c r="E7" s="118">
        <v>58500</v>
      </c>
      <c r="F7" s="118"/>
      <c r="G7" s="118">
        <f t="shared" si="0"/>
        <v>153474</v>
      </c>
      <c r="H7" s="119" t="s">
        <v>195</v>
      </c>
      <c r="I7" s="119" t="s">
        <v>196</v>
      </c>
      <c r="J7" s="116"/>
    </row>
    <row r="8" spans="1:10" s="112" customFormat="1" ht="103.5" customHeight="1" x14ac:dyDescent="0.25">
      <c r="A8" s="112" t="s">
        <v>113</v>
      </c>
      <c r="B8" s="113">
        <v>45209</v>
      </c>
      <c r="E8" s="114">
        <v>490</v>
      </c>
      <c r="F8" s="114"/>
      <c r="G8" s="114">
        <f t="shared" si="0"/>
        <v>153964</v>
      </c>
      <c r="H8" s="115" t="s">
        <v>128</v>
      </c>
      <c r="I8" s="115"/>
    </row>
    <row r="9" spans="1:10" s="112" customFormat="1" ht="103.5" customHeight="1" x14ac:dyDescent="0.25">
      <c r="A9" s="116" t="s">
        <v>113</v>
      </c>
      <c r="B9" s="117">
        <v>45209</v>
      </c>
      <c r="C9" s="116"/>
      <c r="D9" s="116"/>
      <c r="E9" s="118">
        <v>541</v>
      </c>
      <c r="F9" s="118"/>
      <c r="G9" s="118">
        <f t="shared" si="0"/>
        <v>154505</v>
      </c>
      <c r="H9" s="119" t="s">
        <v>128</v>
      </c>
      <c r="I9" s="119"/>
      <c r="J9" s="116"/>
    </row>
    <row r="10" spans="1:10" s="112" customFormat="1" ht="103.5" customHeight="1" x14ac:dyDescent="0.25">
      <c r="A10" s="112" t="s">
        <v>113</v>
      </c>
      <c r="B10" s="113">
        <v>45209</v>
      </c>
      <c r="C10" s="112">
        <v>1571</v>
      </c>
      <c r="E10" s="114"/>
      <c r="F10" s="114">
        <v>475</v>
      </c>
      <c r="G10" s="114">
        <f t="shared" si="0"/>
        <v>154030</v>
      </c>
      <c r="H10" s="115" t="s">
        <v>197</v>
      </c>
      <c r="I10" s="115" t="s">
        <v>198</v>
      </c>
    </row>
    <row r="11" spans="1:10" s="112" customFormat="1" ht="103.5" customHeight="1" x14ac:dyDescent="0.25">
      <c r="A11" s="116" t="s">
        <v>113</v>
      </c>
      <c r="B11" s="117">
        <v>45209</v>
      </c>
      <c r="C11" s="116">
        <v>1572</v>
      </c>
      <c r="D11" s="116"/>
      <c r="E11" s="118"/>
      <c r="F11" s="118">
        <v>800</v>
      </c>
      <c r="G11" s="118">
        <f t="shared" si="0"/>
        <v>153230</v>
      </c>
      <c r="H11" s="119" t="s">
        <v>199</v>
      </c>
      <c r="I11" s="119" t="s">
        <v>200</v>
      </c>
      <c r="J11" s="116"/>
    </row>
    <row r="12" spans="1:10" s="112" customFormat="1" ht="103.5" customHeight="1" x14ac:dyDescent="0.25">
      <c r="A12" s="112" t="s">
        <v>114</v>
      </c>
      <c r="B12" s="113">
        <v>45209</v>
      </c>
      <c r="C12" s="112">
        <v>1573</v>
      </c>
      <c r="E12" s="114"/>
      <c r="F12" s="191">
        <v>150000</v>
      </c>
      <c r="G12" s="114">
        <f t="shared" si="0"/>
        <v>3230</v>
      </c>
      <c r="H12" s="115" t="s">
        <v>201</v>
      </c>
      <c r="I12" s="115" t="s">
        <v>202</v>
      </c>
    </row>
    <row r="13" spans="1:10" s="112" customFormat="1" ht="103.5" customHeight="1" x14ac:dyDescent="0.25">
      <c r="A13" s="116" t="s">
        <v>114</v>
      </c>
      <c r="B13" s="117">
        <v>45209</v>
      </c>
      <c r="C13" s="116"/>
      <c r="D13" s="116"/>
      <c r="E13" s="118">
        <v>150000</v>
      </c>
      <c r="F13" s="118"/>
      <c r="G13" s="118">
        <f t="shared" si="0"/>
        <v>153230</v>
      </c>
      <c r="H13" s="119" t="s">
        <v>203</v>
      </c>
      <c r="I13" s="119" t="s">
        <v>204</v>
      </c>
      <c r="J13" s="116"/>
    </row>
    <row r="14" spans="1:10" s="112" customFormat="1" ht="279" customHeight="1" x14ac:dyDescent="0.25">
      <c r="A14" s="112" t="s">
        <v>113</v>
      </c>
      <c r="B14" s="113">
        <v>45209</v>
      </c>
      <c r="C14" s="112">
        <v>1574</v>
      </c>
      <c r="E14" s="114"/>
      <c r="F14" s="114">
        <v>15500</v>
      </c>
      <c r="G14" s="114">
        <f t="shared" si="0"/>
        <v>137730</v>
      </c>
      <c r="H14" s="115" t="s">
        <v>205</v>
      </c>
      <c r="I14" s="120" t="s">
        <v>216</v>
      </c>
    </row>
    <row r="15" spans="1:10" s="112" customFormat="1" ht="103.5" customHeight="1" x14ac:dyDescent="0.25">
      <c r="A15" s="116" t="s">
        <v>113</v>
      </c>
      <c r="B15" s="117">
        <v>45209</v>
      </c>
      <c r="C15" s="116">
        <v>1575</v>
      </c>
      <c r="D15" s="116"/>
      <c r="E15" s="118"/>
      <c r="F15" s="118">
        <v>2645</v>
      </c>
      <c r="G15" s="118">
        <f t="shared" si="0"/>
        <v>135085</v>
      </c>
      <c r="H15" s="119" t="s">
        <v>206</v>
      </c>
      <c r="I15" s="119" t="s">
        <v>207</v>
      </c>
      <c r="J15" s="116"/>
    </row>
    <row r="16" spans="1:10" s="112" customFormat="1" ht="103.5" customHeight="1" x14ac:dyDescent="0.25">
      <c r="A16" s="112" t="s">
        <v>114</v>
      </c>
      <c r="B16" s="113"/>
      <c r="E16" s="114">
        <v>800000</v>
      </c>
      <c r="F16" s="114"/>
      <c r="G16" s="114">
        <f t="shared" si="0"/>
        <v>935085</v>
      </c>
      <c r="H16" s="115" t="s">
        <v>203</v>
      </c>
      <c r="I16" s="115"/>
    </row>
    <row r="17" spans="1:11" s="112" customFormat="1" ht="113.25" customHeight="1" x14ac:dyDescent="0.25">
      <c r="A17" s="116" t="s">
        <v>114</v>
      </c>
      <c r="B17" s="117">
        <v>45209</v>
      </c>
      <c r="C17" s="116">
        <v>1576</v>
      </c>
      <c r="D17" s="116"/>
      <c r="E17" s="118"/>
      <c r="F17" s="118">
        <v>800000</v>
      </c>
      <c r="G17" s="118">
        <f>+G16+E17-F17</f>
        <v>135085</v>
      </c>
      <c r="H17" s="119" t="s">
        <v>208</v>
      </c>
      <c r="I17" s="119" t="s">
        <v>209</v>
      </c>
      <c r="J17" s="116"/>
    </row>
    <row r="18" spans="1:11" s="112" customFormat="1" ht="105.75" customHeight="1" x14ac:dyDescent="0.25">
      <c r="A18" s="112" t="s">
        <v>114</v>
      </c>
      <c r="B18" s="113">
        <v>45209</v>
      </c>
      <c r="E18" s="191"/>
      <c r="F18" s="114"/>
      <c r="G18" s="114">
        <f t="shared" si="0"/>
        <v>135085</v>
      </c>
      <c r="H18" s="115" t="s">
        <v>214</v>
      </c>
      <c r="I18" s="115" t="s">
        <v>213</v>
      </c>
    </row>
    <row r="19" spans="1:11" s="112" customFormat="1" ht="103.5" customHeight="1" x14ac:dyDescent="0.25">
      <c r="A19" s="116" t="s">
        <v>114</v>
      </c>
      <c r="B19" s="117"/>
      <c r="C19" s="116"/>
      <c r="D19" s="116"/>
      <c r="E19" s="192">
        <v>2000000</v>
      </c>
      <c r="F19" s="118"/>
      <c r="G19" s="118">
        <f t="shared" si="0"/>
        <v>2135085</v>
      </c>
      <c r="H19" s="119" t="s">
        <v>212</v>
      </c>
      <c r="I19" s="119" t="s">
        <v>215</v>
      </c>
      <c r="J19" s="116"/>
    </row>
    <row r="20" spans="1:11" s="112" customFormat="1" ht="112.5" customHeight="1" thickBot="1" x14ac:dyDescent="0.3">
      <c r="A20" s="112" t="s">
        <v>114</v>
      </c>
      <c r="B20" s="113"/>
      <c r="E20" s="114"/>
      <c r="F20" s="114">
        <v>4108500</v>
      </c>
      <c r="G20" s="114">
        <f t="shared" si="0"/>
        <v>-1973415</v>
      </c>
      <c r="H20" s="115" t="s">
        <v>217</v>
      </c>
      <c r="I20" s="115"/>
    </row>
    <row r="21" spans="1:11" ht="138.75" customHeight="1" thickTop="1" x14ac:dyDescent="0.25">
      <c r="B21" s="109" t="s">
        <v>127</v>
      </c>
      <c r="C21" s="110" t="s">
        <v>115</v>
      </c>
      <c r="D21" s="110" t="s">
        <v>179</v>
      </c>
      <c r="E21" s="110" t="s">
        <v>116</v>
      </c>
      <c r="F21" s="100" t="s">
        <v>180</v>
      </c>
      <c r="G21" s="111" t="s">
        <v>211</v>
      </c>
      <c r="I21" s="101"/>
      <c r="J21" s="101"/>
      <c r="K21" s="101"/>
    </row>
    <row r="22" spans="1:11" ht="136.5" customHeight="1" thickBot="1" x14ac:dyDescent="0.3">
      <c r="B22" s="102">
        <f>$G$2</f>
        <v>24974</v>
      </c>
      <c r="C22" s="103">
        <f>SUMIF(A3:A20,A4,E3:E20)</f>
        <v>21031</v>
      </c>
      <c r="D22" s="103">
        <f>SUMIF(A2:A20,A4,F2:F20)</f>
        <v>19420</v>
      </c>
      <c r="E22" s="103">
        <f>SUMIF(A2:A20,A5,E2:E20)</f>
        <v>3058500</v>
      </c>
      <c r="F22" s="103">
        <f>SUMIF(A2:A20,A5,F2:F20)</f>
        <v>5058500</v>
      </c>
      <c r="G22" s="104">
        <f>+B22+C22+E22-D22-F22</f>
        <v>-1973415</v>
      </c>
      <c r="I22" s="105"/>
      <c r="J22" s="105"/>
      <c r="K22" s="105"/>
    </row>
    <row r="23" spans="1:11" ht="60.75" customHeight="1" thickTop="1" x14ac:dyDescent="0.25">
      <c r="E23" s="94"/>
      <c r="F23" s="94"/>
      <c r="G23" s="94"/>
    </row>
    <row r="24" spans="1:11" ht="111.75" customHeight="1" x14ac:dyDescent="0.25">
      <c r="C24" s="106">
        <f>+B22+C22-D22</f>
        <v>26585</v>
      </c>
      <c r="D24" s="101" t="s">
        <v>181</v>
      </c>
      <c r="E24" s="107"/>
      <c r="F24" s="94"/>
      <c r="G24" s="94"/>
    </row>
    <row r="25" spans="1:11" ht="53.25" customHeight="1" x14ac:dyDescent="0.25">
      <c r="E25" s="94"/>
      <c r="F25" s="94"/>
      <c r="G25" s="94"/>
    </row>
    <row r="26" spans="1:11" ht="66" customHeight="1" x14ac:dyDescent="0.25">
      <c r="C26" s="108"/>
      <c r="E26" s="94"/>
      <c r="F26" s="94"/>
      <c r="G26" s="94"/>
    </row>
    <row r="27" spans="1:11" ht="32.25" customHeight="1" x14ac:dyDescent="0.25">
      <c r="E27" s="94"/>
      <c r="F27" s="94"/>
      <c r="G27" s="94"/>
    </row>
    <row r="28" spans="1:11" ht="32.25" customHeight="1" x14ac:dyDescent="0.25">
      <c r="E28" s="94"/>
      <c r="F28" s="94"/>
      <c r="G28" s="94">
        <f>+G20-C24</f>
        <v>-2000000</v>
      </c>
    </row>
    <row r="29" spans="1:11" ht="32.25" customHeight="1" x14ac:dyDescent="0.25">
      <c r="E29" s="94"/>
      <c r="F29" s="94"/>
      <c r="G29" s="94"/>
    </row>
    <row r="30" spans="1:11" ht="32.25" customHeight="1" x14ac:dyDescent="0.25">
      <c r="E30" s="94"/>
      <c r="F30" s="94"/>
      <c r="G30" s="94"/>
    </row>
    <row r="31" spans="1:11" ht="32.25" customHeight="1" x14ac:dyDescent="0.25">
      <c r="E31" s="94"/>
      <c r="F31" s="94"/>
      <c r="G31" s="94"/>
    </row>
    <row r="32" spans="1:11" ht="32.25" customHeight="1" x14ac:dyDescent="0.25">
      <c r="E32" s="94"/>
      <c r="F32" s="94"/>
      <c r="G32" s="94"/>
    </row>
    <row r="33" spans="5:7" ht="32.25" customHeight="1" x14ac:dyDescent="0.25">
      <c r="E33" s="94"/>
      <c r="F33" s="94"/>
      <c r="G33" s="94"/>
    </row>
    <row r="34" spans="5:7" ht="32.25" customHeight="1" x14ac:dyDescent="0.25">
      <c r="E34" s="94"/>
      <c r="F34" s="94"/>
      <c r="G34" s="94"/>
    </row>
    <row r="35" spans="5:7" ht="32.25" customHeight="1" x14ac:dyDescent="0.25">
      <c r="E35" s="94"/>
      <c r="F35" s="94"/>
      <c r="G35" s="94"/>
    </row>
    <row r="36" spans="5:7" ht="32.25" customHeight="1" x14ac:dyDescent="0.25">
      <c r="E36" s="94"/>
      <c r="F36" s="94"/>
      <c r="G36" s="94"/>
    </row>
    <row r="37" spans="5:7" ht="32.25" customHeight="1" x14ac:dyDescent="0.25">
      <c r="E37" s="94"/>
      <c r="F37" s="94"/>
      <c r="G37" s="94"/>
    </row>
    <row r="38" spans="5:7" ht="32.25" customHeight="1" x14ac:dyDescent="0.25">
      <c r="E38" s="94"/>
      <c r="F38" s="94"/>
      <c r="G38" s="94"/>
    </row>
    <row r="39" spans="5:7" ht="32.25" customHeight="1" x14ac:dyDescent="0.25">
      <c r="E39" s="94"/>
      <c r="F39" s="94"/>
      <c r="G39" s="94"/>
    </row>
    <row r="40" spans="5:7" ht="32.25" customHeight="1" x14ac:dyDescent="0.25">
      <c r="E40" s="94"/>
      <c r="F40" s="94"/>
      <c r="G40" s="94"/>
    </row>
    <row r="41" spans="5:7" ht="32.25" customHeight="1" x14ac:dyDescent="0.25">
      <c r="E41" s="94"/>
      <c r="F41" s="94"/>
      <c r="G41" s="94"/>
    </row>
    <row r="42" spans="5:7" ht="32.25" customHeight="1" x14ac:dyDescent="0.25">
      <c r="E42" s="94"/>
      <c r="F42" s="94"/>
      <c r="G42" s="94"/>
    </row>
    <row r="43" spans="5:7" ht="32.25" customHeight="1" x14ac:dyDescent="0.25">
      <c r="E43" s="94"/>
      <c r="F43" s="94"/>
      <c r="G43" s="94"/>
    </row>
    <row r="44" spans="5:7" ht="32.25" customHeight="1" x14ac:dyDescent="0.25">
      <c r="E44" s="94"/>
      <c r="F44" s="94"/>
      <c r="G44" s="94"/>
    </row>
    <row r="45" spans="5:7" ht="32.25" customHeight="1" x14ac:dyDescent="0.25">
      <c r="E45" s="94"/>
      <c r="F45" s="94"/>
      <c r="G45" s="94"/>
    </row>
    <row r="46" spans="5:7" ht="32.25" customHeight="1" x14ac:dyDescent="0.25">
      <c r="E46" s="94"/>
      <c r="F46" s="94"/>
      <c r="G46" s="94"/>
    </row>
    <row r="47" spans="5:7" ht="32.25" customHeight="1" x14ac:dyDescent="0.25">
      <c r="E47" s="94"/>
      <c r="F47" s="94"/>
      <c r="G47" s="94"/>
    </row>
    <row r="48" spans="5:7" ht="32.25" customHeight="1" x14ac:dyDescent="0.25">
      <c r="E48" s="94"/>
      <c r="F48" s="94"/>
      <c r="G48" s="94"/>
    </row>
    <row r="49" spans="5:7" ht="32.25" customHeight="1" x14ac:dyDescent="0.25">
      <c r="E49" s="94"/>
      <c r="F49" s="94"/>
      <c r="G49" s="94"/>
    </row>
    <row r="50" spans="5:7" ht="32.25" customHeight="1" x14ac:dyDescent="0.25">
      <c r="E50" s="94"/>
      <c r="F50" s="94"/>
      <c r="G50" s="94"/>
    </row>
    <row r="51" spans="5:7" ht="32.25" customHeight="1" x14ac:dyDescent="0.25">
      <c r="E51" s="94"/>
      <c r="F51" s="94"/>
      <c r="G51" s="94"/>
    </row>
    <row r="52" spans="5:7" ht="32.25" customHeight="1" x14ac:dyDescent="0.25">
      <c r="E52" s="94"/>
      <c r="F52" s="94"/>
      <c r="G52" s="94"/>
    </row>
    <row r="53" spans="5:7" ht="32.25" customHeight="1" x14ac:dyDescent="0.25"/>
    <row r="54" spans="5:7" ht="32.25" customHeight="1" x14ac:dyDescent="0.25"/>
  </sheetData>
  <conditionalFormatting sqref="A1:A2 A21:A1048576">
    <cfRule type="cellIs" dxfId="220" priority="14" operator="equal">
      <formula>#REF!</formula>
    </cfRule>
  </conditionalFormatting>
  <conditionalFormatting sqref="A3">
    <cfRule type="cellIs" dxfId="219" priority="7" operator="equal">
      <formula>#REF!</formula>
    </cfRule>
  </conditionalFormatting>
  <conditionalFormatting sqref="A4">
    <cfRule type="cellIs" dxfId="218" priority="8" operator="equal">
      <formula>#REF!</formula>
    </cfRule>
  </conditionalFormatting>
  <conditionalFormatting sqref="A5:A20">
    <cfRule type="cellIs" dxfId="217" priority="1" operator="equal">
      <formula>#REF!</formula>
    </cfRule>
  </conditionalFormatting>
  <conditionalFormatting sqref="C1:D1">
    <cfRule type="duplicateValues" dxfId="216" priority="13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8"/>
  <sheetViews>
    <sheetView rightToLeft="1" topLeftCell="B1" zoomScale="10" zoomScaleNormal="10" zoomScaleSheetLayoutView="10" workbookViewId="0">
      <pane ySplit="1" topLeftCell="A2" activePane="bottomLeft" state="frozen"/>
      <selection activeCell="B1" sqref="B1"/>
      <selection pane="bottomLeft" activeCell="H9" sqref="H9"/>
    </sheetView>
  </sheetViews>
  <sheetFormatPr defaultColWidth="17.140625" defaultRowHeight="46.5" x14ac:dyDescent="0.25"/>
  <cols>
    <col min="1" max="1" width="66" style="92" hidden="1" customWidth="1"/>
    <col min="2" max="2" width="52.140625" style="92" customWidth="1"/>
    <col min="3" max="3" width="101" style="92" bestFit="1" customWidth="1"/>
    <col min="4" max="4" width="118.85546875" style="92" bestFit="1" customWidth="1"/>
    <col min="5" max="5" width="107.5703125" style="92" customWidth="1"/>
    <col min="6" max="6" width="110.42578125" style="92" customWidth="1"/>
    <col min="7" max="7" width="135.42578125" style="92" customWidth="1"/>
    <col min="8" max="8" width="121.7109375" style="92" bestFit="1" customWidth="1"/>
    <col min="9" max="9" width="127.140625" style="95" customWidth="1"/>
    <col min="10" max="10" width="255.140625" style="92" customWidth="1"/>
    <col min="11" max="11" width="185.42578125" style="92" customWidth="1"/>
    <col min="12" max="12" width="27.5703125" style="92" bestFit="1" customWidth="1"/>
    <col min="13" max="16384" width="17.140625" style="92"/>
  </cols>
  <sheetData>
    <row r="1" spans="1:12" s="125" customFormat="1" ht="332.25" customHeight="1" thickBot="1" x14ac:dyDescent="0.3">
      <c r="B1" s="121" t="s">
        <v>132</v>
      </c>
      <c r="C1" s="122" t="s">
        <v>1</v>
      </c>
      <c r="D1" s="123" t="s">
        <v>86</v>
      </c>
      <c r="E1" s="123" t="s">
        <v>163</v>
      </c>
      <c r="F1" s="124" t="s">
        <v>2</v>
      </c>
      <c r="G1" s="124" t="s">
        <v>3</v>
      </c>
      <c r="H1" s="124" t="s">
        <v>4</v>
      </c>
      <c r="I1" s="123" t="s">
        <v>92</v>
      </c>
      <c r="J1" s="123" t="s">
        <v>6</v>
      </c>
      <c r="K1" s="123" t="s">
        <v>7</v>
      </c>
    </row>
    <row r="2" spans="1:12" ht="255.75" customHeight="1" x14ac:dyDescent="0.25">
      <c r="C2" s="93"/>
      <c r="F2" s="94"/>
      <c r="G2" s="94"/>
      <c r="H2" s="131">
        <v>26585</v>
      </c>
      <c r="I2" s="135" t="s">
        <v>129</v>
      </c>
      <c r="J2" s="95"/>
    </row>
    <row r="3" spans="1:12" s="129" customFormat="1" ht="276.75" x14ac:dyDescent="0.25">
      <c r="A3" s="126" t="s">
        <v>114</v>
      </c>
      <c r="B3" s="126" t="s">
        <v>114</v>
      </c>
      <c r="C3" s="127">
        <v>45210</v>
      </c>
      <c r="D3" s="126"/>
      <c r="E3" s="126"/>
      <c r="F3" s="188">
        <v>708700</v>
      </c>
      <c r="G3" s="128"/>
      <c r="H3" s="128">
        <f t="shared" ref="H3:H13" si="0">+H2+F3-G3</f>
        <v>735285</v>
      </c>
      <c r="I3" s="133" t="s">
        <v>218</v>
      </c>
      <c r="J3" s="133" t="s">
        <v>219</v>
      </c>
      <c r="K3" s="125" t="s">
        <v>232</v>
      </c>
    </row>
    <row r="4" spans="1:12" s="129" customFormat="1" ht="324.75" customHeight="1" x14ac:dyDescent="0.25">
      <c r="A4" s="129" t="s">
        <v>113</v>
      </c>
      <c r="B4" s="129" t="s">
        <v>114</v>
      </c>
      <c r="C4" s="130">
        <v>45210</v>
      </c>
      <c r="F4" s="189">
        <v>300000</v>
      </c>
      <c r="G4" s="131"/>
      <c r="H4" s="131">
        <f>+H3+F4-G4</f>
        <v>1035285</v>
      </c>
      <c r="I4" s="134" t="s">
        <v>220</v>
      </c>
      <c r="J4" s="134" t="s">
        <v>221</v>
      </c>
    </row>
    <row r="5" spans="1:12" s="129" customFormat="1" ht="304.5" customHeight="1" x14ac:dyDescent="0.25">
      <c r="B5" s="126" t="s">
        <v>114</v>
      </c>
      <c r="C5" s="127">
        <v>45210</v>
      </c>
      <c r="D5" s="126"/>
      <c r="E5" s="126"/>
      <c r="F5" s="188">
        <v>300000</v>
      </c>
      <c r="G5" s="128"/>
      <c r="H5" s="128">
        <f t="shared" si="0"/>
        <v>1335285</v>
      </c>
      <c r="I5" s="133" t="s">
        <v>220</v>
      </c>
      <c r="J5" s="133" t="s">
        <v>222</v>
      </c>
      <c r="K5" s="126"/>
    </row>
    <row r="6" spans="1:12" s="129" customFormat="1" ht="184.5" customHeight="1" x14ac:dyDescent="0.25">
      <c r="B6" s="129" t="s">
        <v>113</v>
      </c>
      <c r="C6" s="130">
        <v>45210</v>
      </c>
      <c r="F6" s="189">
        <v>50000</v>
      </c>
      <c r="G6" s="131"/>
      <c r="H6" s="131">
        <f t="shared" si="0"/>
        <v>1385285</v>
      </c>
      <c r="I6" s="134" t="s">
        <v>203</v>
      </c>
      <c r="J6" s="132"/>
    </row>
    <row r="7" spans="1:12" s="129" customFormat="1" ht="184.5" customHeight="1" x14ac:dyDescent="0.25">
      <c r="B7" s="126" t="s">
        <v>113</v>
      </c>
      <c r="C7" s="127">
        <v>45210</v>
      </c>
      <c r="D7" s="126"/>
      <c r="E7" s="126"/>
      <c r="F7" s="128">
        <v>400</v>
      </c>
      <c r="G7" s="128"/>
      <c r="H7" s="128">
        <f t="shared" si="0"/>
        <v>1385685</v>
      </c>
      <c r="I7" s="133" t="s">
        <v>128</v>
      </c>
      <c r="J7" s="133"/>
      <c r="K7" s="126"/>
    </row>
    <row r="8" spans="1:12" s="129" customFormat="1" ht="184.5" customHeight="1" x14ac:dyDescent="0.25">
      <c r="B8" s="129" t="s">
        <v>113</v>
      </c>
      <c r="C8" s="130">
        <v>45210</v>
      </c>
      <c r="D8" s="129">
        <v>1577</v>
      </c>
      <c r="F8" s="131"/>
      <c r="G8" s="131">
        <v>1000</v>
      </c>
      <c r="H8" s="131">
        <f t="shared" si="0"/>
        <v>1384685</v>
      </c>
      <c r="I8" s="134" t="s">
        <v>223</v>
      </c>
      <c r="J8" s="134" t="s">
        <v>224</v>
      </c>
    </row>
    <row r="9" spans="1:12" s="129" customFormat="1" ht="184.5" customHeight="1" x14ac:dyDescent="0.25">
      <c r="B9" s="126" t="s">
        <v>113</v>
      </c>
      <c r="C9" s="127">
        <v>45210</v>
      </c>
      <c r="D9" s="126">
        <v>1578</v>
      </c>
      <c r="E9" s="126"/>
      <c r="F9" s="128"/>
      <c r="G9" s="128">
        <v>200</v>
      </c>
      <c r="H9" s="128">
        <f t="shared" si="0"/>
        <v>1384485</v>
      </c>
      <c r="I9" s="133" t="s">
        <v>225</v>
      </c>
      <c r="J9" s="133" t="s">
        <v>224</v>
      </c>
      <c r="K9" s="126"/>
    </row>
    <row r="10" spans="1:12" s="129" customFormat="1" ht="184.5" customHeight="1" x14ac:dyDescent="0.25">
      <c r="B10" s="129" t="s">
        <v>113</v>
      </c>
      <c r="C10" s="130">
        <v>45210</v>
      </c>
      <c r="D10" s="129">
        <v>1579</v>
      </c>
      <c r="F10" s="131"/>
      <c r="G10" s="131">
        <v>2720</v>
      </c>
      <c r="H10" s="131">
        <f t="shared" si="0"/>
        <v>1381765</v>
      </c>
      <c r="I10" s="134" t="s">
        <v>226</v>
      </c>
      <c r="J10" s="134" t="s">
        <v>227</v>
      </c>
    </row>
    <row r="11" spans="1:12" s="129" customFormat="1" ht="184.5" customHeight="1" x14ac:dyDescent="0.25">
      <c r="B11" s="126" t="s">
        <v>113</v>
      </c>
      <c r="C11" s="127">
        <v>45210</v>
      </c>
      <c r="D11" s="126">
        <v>1580</v>
      </c>
      <c r="E11" s="126"/>
      <c r="F11" s="128"/>
      <c r="G11" s="128">
        <v>10600</v>
      </c>
      <c r="H11" s="128">
        <f t="shared" si="0"/>
        <v>1371165</v>
      </c>
      <c r="I11" s="133" t="s">
        <v>228</v>
      </c>
      <c r="J11" s="133" t="s">
        <v>229</v>
      </c>
      <c r="K11" s="126"/>
    </row>
    <row r="12" spans="1:12" s="129" customFormat="1" ht="184.5" customHeight="1" x14ac:dyDescent="0.25">
      <c r="B12" s="129" t="s">
        <v>114</v>
      </c>
      <c r="C12" s="130">
        <v>45210</v>
      </c>
      <c r="E12" s="129">
        <v>1166</v>
      </c>
      <c r="F12" s="131">
        <v>75000</v>
      </c>
      <c r="G12" s="131"/>
      <c r="H12" s="131">
        <f t="shared" si="0"/>
        <v>1446165</v>
      </c>
      <c r="I12" s="134" t="s">
        <v>230</v>
      </c>
      <c r="J12" s="134" t="s">
        <v>231</v>
      </c>
    </row>
    <row r="13" spans="1:12" s="129" customFormat="1" ht="184.5" customHeight="1" x14ac:dyDescent="0.25">
      <c r="B13" s="126" t="s">
        <v>113</v>
      </c>
      <c r="C13" s="127"/>
      <c r="D13" s="126"/>
      <c r="E13" s="126"/>
      <c r="F13" s="128"/>
      <c r="G13" s="128"/>
      <c r="H13" s="128">
        <f t="shared" si="0"/>
        <v>1446165</v>
      </c>
      <c r="I13" s="133"/>
      <c r="J13" s="133"/>
      <c r="K13" s="126"/>
    </row>
    <row r="14" spans="1:12" s="112" customFormat="1" ht="103.5" customHeight="1" thickBot="1" x14ac:dyDescent="0.3">
      <c r="C14" s="113"/>
      <c r="F14" s="114"/>
      <c r="G14" s="114"/>
      <c r="H14" s="114"/>
      <c r="I14" s="115"/>
      <c r="J14" s="115"/>
    </row>
    <row r="15" spans="1:12" s="125" customFormat="1" ht="409.6" customHeight="1" thickTop="1" x14ac:dyDescent="0.25">
      <c r="C15" s="136" t="s">
        <v>127</v>
      </c>
      <c r="D15" s="137" t="s">
        <v>115</v>
      </c>
      <c r="E15" s="137" t="s">
        <v>179</v>
      </c>
      <c r="F15" s="137" t="s">
        <v>116</v>
      </c>
      <c r="G15" s="138" t="s">
        <v>180</v>
      </c>
      <c r="H15" s="139" t="s">
        <v>211</v>
      </c>
      <c r="I15" s="149"/>
      <c r="J15" s="150"/>
      <c r="K15" s="150"/>
      <c r="L15" s="150"/>
    </row>
    <row r="16" spans="1:12" s="129" customFormat="1" ht="241.5" customHeight="1" thickBot="1" x14ac:dyDescent="0.3">
      <c r="C16" s="140">
        <f>$H$2</f>
        <v>26585</v>
      </c>
      <c r="D16" s="141">
        <f>SUMIF(B3:B13,A4,F3:F$13)</f>
        <v>50400</v>
      </c>
      <c r="E16" s="141">
        <f>SUMIF(B2:B13,A4,G2:$G$13)</f>
        <v>14520</v>
      </c>
      <c r="F16" s="141">
        <f>SUMIF(B2:B13,A3,F2:$F$13)</f>
        <v>1383700</v>
      </c>
      <c r="G16" s="141">
        <f>SUMIF(B2:B13,A3,G2:$G$13)</f>
        <v>0</v>
      </c>
      <c r="H16" s="142">
        <f>+C16+D16+F16-E16-G16</f>
        <v>1446165</v>
      </c>
      <c r="I16" s="134"/>
      <c r="J16" s="143"/>
      <c r="K16" s="143"/>
      <c r="L16" s="143"/>
    </row>
    <row r="17" spans="4:9" s="129" customFormat="1" ht="60.75" customHeight="1" thickTop="1" x14ac:dyDescent="0.25">
      <c r="F17" s="144"/>
      <c r="G17" s="144"/>
      <c r="H17" s="144"/>
      <c r="I17" s="134"/>
    </row>
    <row r="18" spans="4:9" s="129" customFormat="1" ht="260.25" customHeight="1" x14ac:dyDescent="0.25">
      <c r="D18" s="145">
        <f>+C16+D16-E16</f>
        <v>62465</v>
      </c>
      <c r="E18" s="146" t="s">
        <v>181</v>
      </c>
      <c r="F18" s="147"/>
      <c r="G18" s="144"/>
      <c r="H18" s="144"/>
      <c r="I18" s="134"/>
    </row>
    <row r="19" spans="4:9" ht="143.25" customHeight="1" x14ac:dyDescent="0.25">
      <c r="F19" s="94"/>
      <c r="G19" s="94"/>
      <c r="H19" s="94"/>
    </row>
    <row r="20" spans="4:9" ht="143.25" customHeight="1" x14ac:dyDescent="0.25">
      <c r="D20" s="151">
        <v>10340</v>
      </c>
      <c r="E20" s="152">
        <f>+D18-D20</f>
        <v>52125</v>
      </c>
      <c r="F20" s="94"/>
      <c r="G20" s="94"/>
      <c r="H20" s="94"/>
    </row>
    <row r="21" spans="4:9" ht="143.25" customHeight="1" x14ac:dyDescent="0.25">
      <c r="F21" s="94"/>
      <c r="G21" s="94"/>
      <c r="H21" s="94"/>
    </row>
    <row r="22" spans="4:9" ht="143.25" customHeight="1" x14ac:dyDescent="0.25">
      <c r="F22" s="94"/>
      <c r="G22" s="94"/>
      <c r="H22" s="94"/>
    </row>
    <row r="23" spans="4:9" ht="32.25" customHeight="1" x14ac:dyDescent="0.25">
      <c r="F23" s="94"/>
      <c r="G23" s="94"/>
      <c r="H23" s="94"/>
    </row>
    <row r="24" spans="4:9" ht="32.25" customHeight="1" x14ac:dyDescent="0.25">
      <c r="F24" s="94"/>
      <c r="G24" s="94"/>
      <c r="H24" s="94"/>
    </row>
    <row r="25" spans="4:9" ht="32.25" customHeight="1" x14ac:dyDescent="0.25">
      <c r="F25" s="94"/>
      <c r="G25" s="94"/>
      <c r="H25" s="94"/>
    </row>
    <row r="26" spans="4:9" ht="32.25" customHeight="1" x14ac:dyDescent="0.25">
      <c r="F26" s="94"/>
      <c r="G26" s="94"/>
      <c r="H26" s="94"/>
    </row>
    <row r="27" spans="4:9" ht="32.25" customHeight="1" x14ac:dyDescent="0.25">
      <c r="F27" s="94"/>
      <c r="G27" s="94"/>
      <c r="H27" s="94"/>
    </row>
    <row r="28" spans="4:9" ht="32.25" customHeight="1" x14ac:dyDescent="0.25">
      <c r="F28" s="94"/>
      <c r="G28" s="94"/>
      <c r="H28" s="94"/>
    </row>
    <row r="29" spans="4:9" ht="32.25" customHeight="1" x14ac:dyDescent="0.25">
      <c r="F29" s="94"/>
      <c r="G29" s="94"/>
      <c r="H29" s="94"/>
    </row>
    <row r="30" spans="4:9" ht="32.25" customHeight="1" x14ac:dyDescent="0.25">
      <c r="F30" s="94"/>
      <c r="G30" s="94"/>
      <c r="H30" s="94"/>
    </row>
    <row r="31" spans="4:9" ht="32.25" customHeight="1" x14ac:dyDescent="0.25">
      <c r="F31" s="94"/>
      <c r="G31" s="94"/>
      <c r="H31" s="94"/>
    </row>
    <row r="32" spans="4:9" ht="32.25" customHeight="1" x14ac:dyDescent="0.25">
      <c r="F32" s="94"/>
      <c r="G32" s="94"/>
      <c r="H32" s="94"/>
    </row>
    <row r="33" spans="6:8" ht="32.25" customHeight="1" x14ac:dyDescent="0.25">
      <c r="F33" s="94"/>
      <c r="G33" s="94"/>
      <c r="H33" s="94"/>
    </row>
    <row r="34" spans="6:8" ht="32.25" customHeight="1" x14ac:dyDescent="0.25">
      <c r="F34" s="94"/>
      <c r="G34" s="94"/>
      <c r="H34" s="94"/>
    </row>
    <row r="35" spans="6:8" ht="32.25" customHeight="1" x14ac:dyDescent="0.25">
      <c r="F35" s="94"/>
      <c r="G35" s="94"/>
      <c r="H35" s="94"/>
    </row>
    <row r="36" spans="6:8" ht="32.25" customHeight="1" x14ac:dyDescent="0.25">
      <c r="F36" s="94"/>
      <c r="G36" s="94"/>
      <c r="H36" s="94"/>
    </row>
    <row r="37" spans="6:8" ht="32.25" customHeight="1" x14ac:dyDescent="0.25">
      <c r="F37" s="94"/>
      <c r="G37" s="94"/>
      <c r="H37" s="94"/>
    </row>
    <row r="38" spans="6:8" ht="32.25" customHeight="1" x14ac:dyDescent="0.25">
      <c r="F38" s="94"/>
      <c r="G38" s="94"/>
      <c r="H38" s="94"/>
    </row>
    <row r="39" spans="6:8" ht="32.25" customHeight="1" x14ac:dyDescent="0.25">
      <c r="F39" s="94"/>
      <c r="G39" s="94"/>
      <c r="H39" s="94"/>
    </row>
    <row r="40" spans="6:8" ht="32.25" customHeight="1" x14ac:dyDescent="0.25">
      <c r="F40" s="94"/>
      <c r="G40" s="94"/>
      <c r="H40" s="94"/>
    </row>
    <row r="41" spans="6:8" ht="32.25" customHeight="1" x14ac:dyDescent="0.25">
      <c r="F41" s="94"/>
      <c r="G41" s="94"/>
      <c r="H41" s="94"/>
    </row>
    <row r="42" spans="6:8" ht="32.25" customHeight="1" x14ac:dyDescent="0.25">
      <c r="F42" s="94"/>
      <c r="G42" s="94"/>
      <c r="H42" s="94"/>
    </row>
    <row r="43" spans="6:8" ht="32.25" customHeight="1" x14ac:dyDescent="0.25">
      <c r="F43" s="94"/>
      <c r="G43" s="94"/>
      <c r="H43" s="94"/>
    </row>
    <row r="44" spans="6:8" ht="32.25" customHeight="1" x14ac:dyDescent="0.25">
      <c r="F44" s="94"/>
      <c r="G44" s="94"/>
      <c r="H44" s="94"/>
    </row>
    <row r="45" spans="6:8" ht="32.25" customHeight="1" x14ac:dyDescent="0.25">
      <c r="F45" s="94"/>
      <c r="G45" s="94"/>
      <c r="H45" s="94"/>
    </row>
    <row r="46" spans="6:8" ht="32.25" customHeight="1" x14ac:dyDescent="0.25">
      <c r="F46" s="94"/>
      <c r="G46" s="94"/>
      <c r="H46" s="94"/>
    </row>
    <row r="47" spans="6:8" ht="32.25" customHeight="1" x14ac:dyDescent="0.25"/>
    <row r="48" spans="6:8" ht="32.25" customHeight="1" x14ac:dyDescent="0.25"/>
  </sheetData>
  <conditionalFormatting sqref="A3:A4">
    <cfRule type="cellIs" dxfId="215" priority="1" operator="equal">
      <formula>#REF!</formula>
    </cfRule>
  </conditionalFormatting>
  <conditionalFormatting sqref="B1:B2 B15:B1048576">
    <cfRule type="cellIs" dxfId="214" priority="10" operator="equal">
      <formula>#REF!</formula>
    </cfRule>
  </conditionalFormatting>
  <conditionalFormatting sqref="B3">
    <cfRule type="cellIs" dxfId="213" priority="7" operator="equal">
      <formula>#REF!</formula>
    </cfRule>
  </conditionalFormatting>
  <conditionalFormatting sqref="B4 B14">
    <cfRule type="cellIs" dxfId="212" priority="8" operator="equal">
      <formula>#REF!</formula>
    </cfRule>
  </conditionalFormatting>
  <conditionalFormatting sqref="B5:B13">
    <cfRule type="cellIs" dxfId="211" priority="3" operator="equal">
      <formula>#REF!</formula>
    </cfRule>
  </conditionalFormatting>
  <conditionalFormatting sqref="D1:E1">
    <cfRule type="duplicateValues" dxfId="210" priority="9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3"/>
  <sheetViews>
    <sheetView rightToLeft="1" view="pageBreakPreview" topLeftCell="B1" zoomScale="10" zoomScaleNormal="15" zoomScaleSheetLayoutView="10" workbookViewId="0">
      <pane ySplit="1" topLeftCell="A10" activePane="bottomLeft" state="frozen"/>
      <selection activeCell="B1" sqref="B1"/>
      <selection pane="bottomLeft" activeCell="F22" sqref="A1:L53"/>
    </sheetView>
  </sheetViews>
  <sheetFormatPr defaultColWidth="17.140625" defaultRowHeight="46.5" x14ac:dyDescent="0.25"/>
  <cols>
    <col min="1" max="1" width="66" style="92" hidden="1" customWidth="1"/>
    <col min="2" max="2" width="94.5703125" style="92" customWidth="1"/>
    <col min="3" max="3" width="101" style="92" bestFit="1" customWidth="1"/>
    <col min="4" max="4" width="118.85546875" style="92" bestFit="1" customWidth="1"/>
    <col min="5" max="5" width="107.5703125" style="92" customWidth="1"/>
    <col min="6" max="6" width="110.42578125" style="92" customWidth="1"/>
    <col min="7" max="7" width="101.5703125" style="92" customWidth="1"/>
    <col min="8" max="8" width="121.7109375" style="92" bestFit="1" customWidth="1"/>
    <col min="9" max="9" width="209.5703125" style="95" customWidth="1"/>
    <col min="10" max="10" width="255.5703125" style="92" bestFit="1" customWidth="1"/>
    <col min="11" max="11" width="119.28515625" style="92" customWidth="1"/>
    <col min="12" max="12" width="27.5703125" style="92" bestFit="1" customWidth="1"/>
    <col min="13" max="16384" width="17.140625" style="92"/>
  </cols>
  <sheetData>
    <row r="1" spans="1:11" s="125" customFormat="1" ht="279.75" customHeight="1" thickBot="1" x14ac:dyDescent="0.3">
      <c r="B1" s="121" t="s">
        <v>132</v>
      </c>
      <c r="C1" s="122" t="s">
        <v>1</v>
      </c>
      <c r="D1" s="123" t="s">
        <v>86</v>
      </c>
      <c r="E1" s="123" t="s">
        <v>163</v>
      </c>
      <c r="F1" s="124" t="s">
        <v>2</v>
      </c>
      <c r="G1" s="124" t="s">
        <v>3</v>
      </c>
      <c r="H1" s="124" t="s">
        <v>4</v>
      </c>
      <c r="I1" s="123" t="s">
        <v>92</v>
      </c>
      <c r="J1" s="123" t="s">
        <v>6</v>
      </c>
      <c r="K1" s="123" t="s">
        <v>7</v>
      </c>
    </row>
    <row r="2" spans="1:11" ht="135.75" customHeight="1" x14ac:dyDescent="0.25">
      <c r="C2" s="93"/>
      <c r="F2" s="94"/>
      <c r="G2" s="94"/>
      <c r="H2" s="131">
        <v>62465</v>
      </c>
      <c r="I2" s="135" t="s">
        <v>129</v>
      </c>
      <c r="J2" s="95"/>
    </row>
    <row r="3" spans="1:11" s="129" customFormat="1" ht="184.5" customHeight="1" x14ac:dyDescent="0.25">
      <c r="A3" s="126" t="s">
        <v>114</v>
      </c>
      <c r="B3" s="126" t="s">
        <v>113</v>
      </c>
      <c r="C3" s="127">
        <v>45211</v>
      </c>
      <c r="D3" s="126">
        <v>1581</v>
      </c>
      <c r="E3" s="126"/>
      <c r="F3" s="128"/>
      <c r="G3" s="128">
        <v>2000</v>
      </c>
      <c r="H3" s="128">
        <f t="shared" ref="H3:H20" si="0">+H2+F3-G3</f>
        <v>60465</v>
      </c>
      <c r="I3" s="133" t="s">
        <v>233</v>
      </c>
      <c r="J3" s="133" t="s">
        <v>224</v>
      </c>
      <c r="K3" s="126"/>
    </row>
    <row r="4" spans="1:11" s="129" customFormat="1" ht="225" customHeight="1" x14ac:dyDescent="0.25">
      <c r="A4" s="129" t="s">
        <v>113</v>
      </c>
      <c r="B4" s="129" t="s">
        <v>113</v>
      </c>
      <c r="C4" s="130">
        <v>45211</v>
      </c>
      <c r="D4" s="129">
        <v>1582</v>
      </c>
      <c r="F4" s="131"/>
      <c r="G4" s="131">
        <v>7800</v>
      </c>
      <c r="H4" s="131">
        <f>+H3+F4-G4</f>
        <v>52665</v>
      </c>
      <c r="I4" s="134" t="s">
        <v>233</v>
      </c>
      <c r="J4" s="134" t="s">
        <v>234</v>
      </c>
      <c r="K4" s="148"/>
    </row>
    <row r="5" spans="1:11" s="129" customFormat="1" ht="184.5" customHeight="1" x14ac:dyDescent="0.25">
      <c r="A5" s="126"/>
      <c r="B5" s="126" t="s">
        <v>113</v>
      </c>
      <c r="C5" s="127">
        <v>45211</v>
      </c>
      <c r="D5" s="126"/>
      <c r="E5" s="126"/>
      <c r="F5" s="128">
        <v>7800</v>
      </c>
      <c r="G5" s="128"/>
      <c r="H5" s="128">
        <f t="shared" si="0"/>
        <v>60465</v>
      </c>
      <c r="I5" s="133" t="s">
        <v>233</v>
      </c>
      <c r="J5" s="133" t="s">
        <v>234</v>
      </c>
      <c r="K5" s="126"/>
    </row>
    <row r="6" spans="1:11" s="129" customFormat="1" ht="225" customHeight="1" x14ac:dyDescent="0.25">
      <c r="B6" s="129" t="s">
        <v>113</v>
      </c>
      <c r="C6" s="130">
        <v>45211</v>
      </c>
      <c r="D6" s="129">
        <v>1583</v>
      </c>
      <c r="F6" s="131"/>
      <c r="G6" s="131">
        <v>50000</v>
      </c>
      <c r="H6" s="131">
        <f t="shared" si="0"/>
        <v>10465</v>
      </c>
      <c r="I6" s="134" t="s">
        <v>235</v>
      </c>
      <c r="J6" s="134" t="s">
        <v>77</v>
      </c>
      <c r="K6" s="148"/>
    </row>
    <row r="7" spans="1:11" s="129" customFormat="1" ht="184.5" customHeight="1" x14ac:dyDescent="0.25">
      <c r="A7" s="126"/>
      <c r="B7" s="126" t="s">
        <v>113</v>
      </c>
      <c r="C7" s="127">
        <v>45211</v>
      </c>
      <c r="D7" s="126"/>
      <c r="E7" s="126"/>
      <c r="F7" s="128">
        <v>570</v>
      </c>
      <c r="G7" s="128"/>
      <c r="H7" s="128">
        <f t="shared" si="0"/>
        <v>11035</v>
      </c>
      <c r="I7" s="133" t="s">
        <v>128</v>
      </c>
      <c r="J7" s="133"/>
      <c r="K7" s="126"/>
    </row>
    <row r="8" spans="1:11" s="129" customFormat="1" ht="225" customHeight="1" x14ac:dyDescent="0.25">
      <c r="B8" s="129" t="s">
        <v>113</v>
      </c>
      <c r="C8" s="130">
        <v>45211</v>
      </c>
      <c r="E8" s="129">
        <v>1167</v>
      </c>
      <c r="F8" s="131">
        <v>30000</v>
      </c>
      <c r="G8" s="131"/>
      <c r="H8" s="131">
        <f t="shared" si="0"/>
        <v>41035</v>
      </c>
      <c r="I8" s="134" t="s">
        <v>236</v>
      </c>
      <c r="J8" s="134" t="s">
        <v>237</v>
      </c>
      <c r="K8" s="148"/>
    </row>
    <row r="9" spans="1:11" s="129" customFormat="1" ht="184.5" customHeight="1" x14ac:dyDescent="0.25">
      <c r="A9" s="126"/>
      <c r="B9" s="126" t="s">
        <v>114</v>
      </c>
      <c r="C9" s="127">
        <v>45211</v>
      </c>
      <c r="D9" s="126"/>
      <c r="E9" s="126">
        <v>1168</v>
      </c>
      <c r="F9" s="128">
        <v>95000</v>
      </c>
      <c r="G9" s="128"/>
      <c r="H9" s="128">
        <f t="shared" si="0"/>
        <v>136035</v>
      </c>
      <c r="I9" s="133" t="s">
        <v>238</v>
      </c>
      <c r="J9" s="133" t="s">
        <v>239</v>
      </c>
      <c r="K9" s="126"/>
    </row>
    <row r="10" spans="1:11" s="129" customFormat="1" ht="225" customHeight="1" x14ac:dyDescent="0.25">
      <c r="B10" s="129" t="s">
        <v>114</v>
      </c>
      <c r="C10" s="130">
        <v>45211</v>
      </c>
      <c r="E10" s="129">
        <v>1169</v>
      </c>
      <c r="F10" s="131">
        <v>200000</v>
      </c>
      <c r="G10" s="131"/>
      <c r="H10" s="131">
        <f t="shared" si="0"/>
        <v>336035</v>
      </c>
      <c r="I10" s="134" t="s">
        <v>240</v>
      </c>
      <c r="J10" s="134" t="s">
        <v>241</v>
      </c>
      <c r="K10" s="148"/>
    </row>
    <row r="11" spans="1:11" s="129" customFormat="1" ht="184.5" customHeight="1" x14ac:dyDescent="0.25">
      <c r="A11" s="126"/>
      <c r="B11" s="126" t="s">
        <v>114</v>
      </c>
      <c r="C11" s="127">
        <v>45211</v>
      </c>
      <c r="D11" s="126"/>
      <c r="E11" s="126">
        <v>1170</v>
      </c>
      <c r="F11" s="128">
        <v>77000</v>
      </c>
      <c r="G11" s="128"/>
      <c r="H11" s="128">
        <f t="shared" si="0"/>
        <v>413035</v>
      </c>
      <c r="I11" s="133" t="s">
        <v>242</v>
      </c>
      <c r="J11" s="133" t="s">
        <v>243</v>
      </c>
      <c r="K11" s="126"/>
    </row>
    <row r="12" spans="1:11" s="129" customFormat="1" ht="225" customHeight="1" x14ac:dyDescent="0.25">
      <c r="B12" s="129" t="s">
        <v>114</v>
      </c>
      <c r="C12" s="130">
        <v>45211</v>
      </c>
      <c r="E12" s="129">
        <v>1171</v>
      </c>
      <c r="F12" s="131">
        <v>200000</v>
      </c>
      <c r="G12" s="131"/>
      <c r="H12" s="131">
        <f t="shared" si="0"/>
        <v>613035</v>
      </c>
      <c r="I12" s="134" t="s">
        <v>245</v>
      </c>
      <c r="J12" s="134" t="s">
        <v>246</v>
      </c>
      <c r="K12" s="148"/>
    </row>
    <row r="13" spans="1:11" s="129" customFormat="1" ht="184.5" customHeight="1" x14ac:dyDescent="0.25">
      <c r="A13" s="126"/>
      <c r="B13" s="126" t="s">
        <v>114</v>
      </c>
      <c r="C13" s="127">
        <v>45211</v>
      </c>
      <c r="D13" s="126"/>
      <c r="E13" s="126">
        <v>1172</v>
      </c>
      <c r="F13" s="128">
        <v>120000</v>
      </c>
      <c r="G13" s="128"/>
      <c r="H13" s="128">
        <f t="shared" si="0"/>
        <v>733035</v>
      </c>
      <c r="I13" s="133" t="s">
        <v>247</v>
      </c>
      <c r="J13" s="133" t="s">
        <v>248</v>
      </c>
      <c r="K13" s="126"/>
    </row>
    <row r="14" spans="1:11" s="129" customFormat="1" ht="225" customHeight="1" x14ac:dyDescent="0.25">
      <c r="B14" s="129" t="s">
        <v>114</v>
      </c>
      <c r="C14" s="130">
        <v>45211</v>
      </c>
      <c r="E14" s="129">
        <v>1173</v>
      </c>
      <c r="F14" s="131">
        <v>22000</v>
      </c>
      <c r="G14" s="131"/>
      <c r="H14" s="131">
        <f t="shared" si="0"/>
        <v>755035</v>
      </c>
      <c r="I14" s="134" t="s">
        <v>249</v>
      </c>
      <c r="J14" s="134" t="s">
        <v>250</v>
      </c>
      <c r="K14" s="148"/>
    </row>
    <row r="15" spans="1:11" s="129" customFormat="1" ht="184.5" customHeight="1" x14ac:dyDescent="0.25">
      <c r="A15" s="126"/>
      <c r="B15" s="126" t="s">
        <v>114</v>
      </c>
      <c r="C15" s="127">
        <v>45211</v>
      </c>
      <c r="D15" s="126"/>
      <c r="E15" s="126">
        <v>1174</v>
      </c>
      <c r="F15" s="128">
        <v>34000</v>
      </c>
      <c r="G15" s="128"/>
      <c r="H15" s="128">
        <f t="shared" si="0"/>
        <v>789035</v>
      </c>
      <c r="I15" s="133" t="s">
        <v>249</v>
      </c>
      <c r="J15" s="133" t="s">
        <v>251</v>
      </c>
      <c r="K15" s="126"/>
    </row>
    <row r="16" spans="1:11" s="129" customFormat="1" ht="225" customHeight="1" x14ac:dyDescent="0.25">
      <c r="B16" s="129" t="s">
        <v>113</v>
      </c>
      <c r="C16" s="127">
        <v>45211</v>
      </c>
      <c r="D16" s="129">
        <v>1584</v>
      </c>
      <c r="G16" s="131">
        <v>250</v>
      </c>
      <c r="H16" s="131">
        <f t="shared" si="0"/>
        <v>788785</v>
      </c>
      <c r="I16" s="131" t="s">
        <v>252</v>
      </c>
      <c r="J16" s="134" t="s">
        <v>253</v>
      </c>
      <c r="K16" s="148"/>
    </row>
    <row r="17" spans="1:12" s="129" customFormat="1" ht="225" customHeight="1" x14ac:dyDescent="0.25">
      <c r="B17" s="126" t="s">
        <v>113</v>
      </c>
      <c r="C17" s="127">
        <v>45211</v>
      </c>
      <c r="D17" s="126">
        <v>1585</v>
      </c>
      <c r="E17" s="126"/>
      <c r="F17" s="126"/>
      <c r="G17" s="128">
        <v>600</v>
      </c>
      <c r="H17" s="128">
        <f t="shared" si="0"/>
        <v>788185</v>
      </c>
      <c r="I17" s="128" t="s">
        <v>254</v>
      </c>
      <c r="J17" s="133" t="s">
        <v>224</v>
      </c>
      <c r="K17" s="148"/>
    </row>
    <row r="18" spans="1:12" s="129" customFormat="1" ht="184.5" customHeight="1" x14ac:dyDescent="0.25">
      <c r="A18" s="126"/>
      <c r="B18" s="129" t="s">
        <v>113</v>
      </c>
      <c r="C18" s="127">
        <v>45211</v>
      </c>
      <c r="D18" s="129">
        <v>1586</v>
      </c>
      <c r="G18" s="131">
        <v>100</v>
      </c>
      <c r="H18" s="131">
        <f t="shared" si="0"/>
        <v>788085</v>
      </c>
      <c r="I18" s="131" t="s">
        <v>225</v>
      </c>
      <c r="J18" s="134" t="s">
        <v>255</v>
      </c>
      <c r="K18" s="126"/>
    </row>
    <row r="19" spans="1:12" s="129" customFormat="1" ht="225" customHeight="1" x14ac:dyDescent="0.25">
      <c r="B19" s="126" t="s">
        <v>113</v>
      </c>
      <c r="C19" s="127">
        <v>45211</v>
      </c>
      <c r="D19" s="126">
        <v>1587</v>
      </c>
      <c r="E19" s="126"/>
      <c r="F19" s="126"/>
      <c r="G19" s="128">
        <v>41000</v>
      </c>
      <c r="H19" s="128">
        <f t="shared" si="0"/>
        <v>747085</v>
      </c>
      <c r="I19" s="128" t="s">
        <v>256</v>
      </c>
      <c r="J19" s="133" t="s">
        <v>257</v>
      </c>
      <c r="K19" s="148"/>
    </row>
    <row r="20" spans="1:12" s="129" customFormat="1" ht="207" customHeight="1" thickBot="1" x14ac:dyDescent="0.3">
      <c r="A20" s="126"/>
      <c r="B20" s="129" t="s">
        <v>113</v>
      </c>
      <c r="C20" s="127">
        <v>45211</v>
      </c>
      <c r="F20" s="190">
        <v>50000</v>
      </c>
      <c r="G20" s="131"/>
      <c r="H20" s="131">
        <f t="shared" si="0"/>
        <v>797085</v>
      </c>
      <c r="I20" s="131" t="s">
        <v>244</v>
      </c>
      <c r="J20" s="134"/>
      <c r="K20" s="126"/>
    </row>
    <row r="21" spans="1:12" s="125" customFormat="1" ht="364.5" customHeight="1" thickTop="1" x14ac:dyDescent="0.25">
      <c r="C21" s="136" t="s">
        <v>127</v>
      </c>
      <c r="D21" s="137" t="s">
        <v>115</v>
      </c>
      <c r="E21" s="137" t="s">
        <v>179</v>
      </c>
      <c r="F21" s="137" t="s">
        <v>116</v>
      </c>
      <c r="G21" s="138" t="s">
        <v>180</v>
      </c>
      <c r="H21" s="139" t="s">
        <v>211</v>
      </c>
      <c r="I21" s="149"/>
      <c r="J21" s="150"/>
      <c r="K21" s="150"/>
      <c r="L21" s="150"/>
    </row>
    <row r="22" spans="1:12" s="129" customFormat="1" ht="364.5" customHeight="1" thickBot="1" x14ac:dyDescent="0.3">
      <c r="C22" s="140">
        <f>$H$2</f>
        <v>62465</v>
      </c>
      <c r="D22" s="141">
        <f>SUMIF(B3:B20,A4,F3:F$20)</f>
        <v>88370</v>
      </c>
      <c r="E22" s="141">
        <f>SUMIF(B2:B20,A4,G2:$G$20)</f>
        <v>101750</v>
      </c>
      <c r="F22" s="141">
        <f>SUMIF(B2:B20,A3,F2:$F$20)</f>
        <v>748000</v>
      </c>
      <c r="G22" s="141">
        <f>SUMIF(B2:B20,A3,G2:$G$20)</f>
        <v>0</v>
      </c>
      <c r="H22" s="142">
        <f>+C22+D22+F22-E22-G22</f>
        <v>797085</v>
      </c>
      <c r="I22" s="134"/>
      <c r="J22" s="143"/>
      <c r="K22" s="143"/>
      <c r="L22" s="143"/>
    </row>
    <row r="23" spans="1:12" s="129" customFormat="1" ht="275.25" customHeight="1" thickTop="1" x14ac:dyDescent="0.25">
      <c r="D23" s="145">
        <f>+C22+D22-E22</f>
        <v>49085</v>
      </c>
      <c r="E23" s="146" t="s">
        <v>181</v>
      </c>
      <c r="F23" s="147"/>
      <c r="G23" s="144"/>
      <c r="H23" s="144"/>
      <c r="I23" s="134"/>
    </row>
    <row r="24" spans="1:12" ht="143.25" customHeight="1" x14ac:dyDescent="0.25">
      <c r="F24" s="94"/>
      <c r="G24" s="94"/>
      <c r="H24" s="94"/>
    </row>
    <row r="25" spans="1:12" ht="143.25" customHeight="1" x14ac:dyDescent="0.25">
      <c r="D25" s="151"/>
      <c r="E25" s="152"/>
      <c r="F25" s="94"/>
      <c r="G25" s="94"/>
      <c r="H25" s="94"/>
    </row>
    <row r="26" spans="1:12" ht="143.25" customHeight="1" x14ac:dyDescent="0.25">
      <c r="F26" s="94"/>
      <c r="G26" s="94"/>
      <c r="H26" s="94"/>
    </row>
    <row r="27" spans="1:12" ht="143.25" customHeight="1" x14ac:dyDescent="0.25">
      <c r="F27" s="94"/>
      <c r="G27" s="94"/>
      <c r="H27" s="94"/>
    </row>
    <row r="28" spans="1:12" ht="32.25" customHeight="1" x14ac:dyDescent="0.25">
      <c r="F28" s="94"/>
      <c r="G28" s="94"/>
      <c r="H28" s="94"/>
    </row>
    <row r="29" spans="1:12" ht="32.25" customHeight="1" x14ac:dyDescent="0.25">
      <c r="F29" s="94"/>
      <c r="G29" s="94"/>
      <c r="H29" s="94"/>
    </row>
    <row r="30" spans="1:12" ht="32.25" customHeight="1" x14ac:dyDescent="0.25">
      <c r="F30" s="94"/>
      <c r="G30" s="94"/>
      <c r="H30" s="94"/>
    </row>
    <row r="31" spans="1:12" ht="32.25" customHeight="1" x14ac:dyDescent="0.25">
      <c r="F31" s="94"/>
      <c r="G31" s="94"/>
      <c r="H31" s="94"/>
    </row>
    <row r="32" spans="1:12" ht="32.25" customHeight="1" x14ac:dyDescent="0.25">
      <c r="F32" s="94"/>
      <c r="G32" s="94"/>
      <c r="H32" s="94"/>
    </row>
    <row r="33" spans="6:8" ht="32.25" customHeight="1" x14ac:dyDescent="0.25">
      <c r="F33" s="94"/>
      <c r="G33" s="94"/>
      <c r="H33" s="94"/>
    </row>
    <row r="34" spans="6:8" ht="32.25" customHeight="1" x14ac:dyDescent="0.25">
      <c r="F34" s="94"/>
      <c r="G34" s="94"/>
      <c r="H34" s="94"/>
    </row>
    <row r="35" spans="6:8" ht="32.25" customHeight="1" x14ac:dyDescent="0.25">
      <c r="F35" s="94"/>
      <c r="G35" s="94"/>
      <c r="H35" s="94"/>
    </row>
    <row r="36" spans="6:8" ht="32.25" customHeight="1" x14ac:dyDescent="0.25">
      <c r="F36" s="94"/>
      <c r="G36" s="94"/>
      <c r="H36" s="94"/>
    </row>
    <row r="37" spans="6:8" ht="32.25" customHeight="1" x14ac:dyDescent="0.25">
      <c r="F37" s="94"/>
      <c r="G37" s="94"/>
      <c r="H37" s="94"/>
    </row>
    <row r="38" spans="6:8" ht="32.25" customHeight="1" x14ac:dyDescent="0.25">
      <c r="F38" s="94"/>
      <c r="G38" s="94"/>
      <c r="H38" s="94"/>
    </row>
    <row r="39" spans="6:8" ht="32.25" customHeight="1" x14ac:dyDescent="0.25">
      <c r="F39" s="94"/>
      <c r="G39" s="94"/>
      <c r="H39" s="94"/>
    </row>
    <row r="40" spans="6:8" ht="32.25" customHeight="1" x14ac:dyDescent="0.25">
      <c r="F40" s="94"/>
      <c r="G40" s="94"/>
      <c r="H40" s="94"/>
    </row>
    <row r="41" spans="6:8" ht="32.25" customHeight="1" x14ac:dyDescent="0.25">
      <c r="F41" s="94"/>
      <c r="G41" s="94"/>
      <c r="H41" s="94"/>
    </row>
    <row r="42" spans="6:8" ht="32.25" customHeight="1" x14ac:dyDescent="0.25">
      <c r="F42" s="94"/>
      <c r="G42" s="94"/>
      <c r="H42" s="94"/>
    </row>
    <row r="43" spans="6:8" ht="32.25" customHeight="1" x14ac:dyDescent="0.25">
      <c r="F43" s="94"/>
      <c r="G43" s="94"/>
      <c r="H43" s="94"/>
    </row>
    <row r="44" spans="6:8" ht="32.25" customHeight="1" x14ac:dyDescent="0.25">
      <c r="F44" s="94"/>
      <c r="G44" s="94"/>
      <c r="H44" s="94"/>
    </row>
    <row r="45" spans="6:8" ht="32.25" customHeight="1" x14ac:dyDescent="0.25">
      <c r="F45" s="94"/>
      <c r="G45" s="94"/>
      <c r="H45" s="94"/>
    </row>
    <row r="46" spans="6:8" ht="32.25" customHeight="1" x14ac:dyDescent="0.25">
      <c r="F46" s="94"/>
      <c r="G46" s="94"/>
      <c r="H46" s="94"/>
    </row>
    <row r="47" spans="6:8" ht="32.25" customHeight="1" x14ac:dyDescent="0.25">
      <c r="F47" s="94"/>
      <c r="G47" s="94"/>
      <c r="H47" s="94"/>
    </row>
    <row r="48" spans="6:8" ht="32.25" customHeight="1" x14ac:dyDescent="0.25">
      <c r="F48" s="94"/>
      <c r="G48" s="94"/>
      <c r="H48" s="94"/>
    </row>
    <row r="49" spans="6:8" ht="32.25" customHeight="1" x14ac:dyDescent="0.25">
      <c r="F49" s="94"/>
      <c r="G49" s="94"/>
      <c r="H49" s="94"/>
    </row>
    <row r="50" spans="6:8" ht="32.25" customHeight="1" x14ac:dyDescent="0.25">
      <c r="F50" s="94"/>
      <c r="G50" s="94"/>
      <c r="H50" s="94"/>
    </row>
    <row r="51" spans="6:8" ht="32.25" customHeight="1" x14ac:dyDescent="0.25">
      <c r="F51" s="94"/>
      <c r="G51" s="94"/>
      <c r="H51" s="94"/>
    </row>
    <row r="52" spans="6:8" ht="32.25" customHeight="1" x14ac:dyDescent="0.25"/>
    <row r="53" spans="6:8" ht="32.25" customHeight="1" x14ac:dyDescent="0.25"/>
  </sheetData>
  <conditionalFormatting sqref="A3:A20">
    <cfRule type="cellIs" dxfId="209" priority="5" operator="equal">
      <formula>#REF!</formula>
    </cfRule>
  </conditionalFormatting>
  <conditionalFormatting sqref="B1:B2 B21:B1048576">
    <cfRule type="cellIs" dxfId="208" priority="21" operator="equal">
      <formula>#REF!</formula>
    </cfRule>
  </conditionalFormatting>
  <conditionalFormatting sqref="B3">
    <cfRule type="cellIs" dxfId="207" priority="18" operator="equal">
      <formula>#REF!</formula>
    </cfRule>
  </conditionalFormatting>
  <conditionalFormatting sqref="B4">
    <cfRule type="cellIs" dxfId="206" priority="19" operator="equal">
      <formula>#REF!</formula>
    </cfRule>
  </conditionalFormatting>
  <conditionalFormatting sqref="B5:B20">
    <cfRule type="cellIs" dxfId="205" priority="1" operator="equal">
      <formula>#REF!</formula>
    </cfRule>
  </conditionalFormatting>
  <conditionalFormatting sqref="D1:E1">
    <cfRule type="duplicateValues" dxfId="204" priority="20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0"/>
  <sheetViews>
    <sheetView rightToLeft="1" view="pageBreakPreview" topLeftCell="C1" zoomScale="25" zoomScaleNormal="25" zoomScaleSheetLayoutView="25" workbookViewId="0">
      <pane ySplit="1" topLeftCell="A17" activePane="bottomLeft" state="frozen"/>
      <selection activeCell="B1" sqref="B1"/>
      <selection pane="bottomLeft" activeCell="I20" sqref="I20"/>
    </sheetView>
  </sheetViews>
  <sheetFormatPr defaultColWidth="9" defaultRowHeight="46.5" x14ac:dyDescent="0.7"/>
  <cols>
    <col min="1" max="1" width="12.42578125" style="153" customWidth="1"/>
    <col min="2" max="2" width="52.7109375" style="153" customWidth="1"/>
    <col min="3" max="3" width="33.7109375" style="153" customWidth="1"/>
    <col min="4" max="4" width="46.5703125" style="153" customWidth="1"/>
    <col min="5" max="5" width="37.42578125" style="153" customWidth="1"/>
    <col min="6" max="6" width="65.7109375" style="153" customWidth="1"/>
    <col min="7" max="7" width="74.5703125" style="153" customWidth="1"/>
    <col min="8" max="8" width="55" style="153" bestFit="1" customWidth="1"/>
    <col min="9" max="9" width="83.28515625" style="153" bestFit="1" customWidth="1"/>
    <col min="10" max="10" width="151.7109375" style="153" customWidth="1"/>
    <col min="11" max="11" width="70.140625" style="153" customWidth="1"/>
    <col min="12" max="16384" width="9" style="153"/>
  </cols>
  <sheetData>
    <row r="1" spans="1:11" ht="106.5" customHeight="1" thickBot="1" x14ac:dyDescent="0.75">
      <c r="A1" s="154" t="s">
        <v>114</v>
      </c>
      <c r="B1" s="157" t="s">
        <v>132</v>
      </c>
      <c r="C1" s="158" t="s">
        <v>1</v>
      </c>
      <c r="D1" s="159" t="s">
        <v>86</v>
      </c>
      <c r="E1" s="159" t="s">
        <v>163</v>
      </c>
      <c r="F1" s="160" t="s">
        <v>2</v>
      </c>
      <c r="G1" s="160" t="s">
        <v>3</v>
      </c>
      <c r="H1" s="160" t="s">
        <v>4</v>
      </c>
      <c r="I1" s="159" t="s">
        <v>92</v>
      </c>
      <c r="J1" s="159" t="s">
        <v>6</v>
      </c>
      <c r="K1" s="159" t="s">
        <v>7</v>
      </c>
    </row>
    <row r="2" spans="1:11" ht="74.25" customHeight="1" x14ac:dyDescent="0.7">
      <c r="A2" s="155" t="s">
        <v>113</v>
      </c>
      <c r="B2" s="161"/>
      <c r="C2" s="162"/>
      <c r="D2" s="161"/>
      <c r="E2" s="161"/>
      <c r="F2" s="163"/>
      <c r="G2" s="163"/>
      <c r="H2" s="156">
        <v>49085</v>
      </c>
      <c r="I2" s="156" t="s">
        <v>129</v>
      </c>
      <c r="J2" s="164"/>
      <c r="K2" s="161"/>
    </row>
    <row r="3" spans="1:11" ht="74.25" customHeight="1" x14ac:dyDescent="0.7">
      <c r="B3" s="165" t="s">
        <v>114</v>
      </c>
      <c r="C3" s="166">
        <v>45213</v>
      </c>
      <c r="D3" s="165"/>
      <c r="E3" s="165">
        <v>1175</v>
      </c>
      <c r="F3" s="167">
        <v>40000</v>
      </c>
      <c r="G3" s="167"/>
      <c r="H3" s="167">
        <f t="shared" ref="H3:H25" si="0">+H2+F3-G3</f>
        <v>89085</v>
      </c>
      <c r="I3" s="168" t="s">
        <v>258</v>
      </c>
      <c r="J3" s="168" t="s">
        <v>259</v>
      </c>
      <c r="K3" s="165"/>
    </row>
    <row r="4" spans="1:11" ht="74.25" customHeight="1" x14ac:dyDescent="0.7">
      <c r="B4" s="161" t="s">
        <v>113</v>
      </c>
      <c r="C4" s="162">
        <v>45213</v>
      </c>
      <c r="D4" s="161"/>
      <c r="E4" s="161">
        <v>1176</v>
      </c>
      <c r="F4" s="163">
        <v>100000</v>
      </c>
      <c r="G4" s="163"/>
      <c r="H4" s="156">
        <f>+H3+F4-G4</f>
        <v>189085</v>
      </c>
      <c r="I4" s="169" t="s">
        <v>260</v>
      </c>
      <c r="J4" s="164" t="s">
        <v>261</v>
      </c>
      <c r="K4" s="161"/>
    </row>
    <row r="5" spans="1:11" ht="74.25" customHeight="1" x14ac:dyDescent="0.7">
      <c r="B5" s="165" t="s">
        <v>113</v>
      </c>
      <c r="C5" s="166">
        <v>45213</v>
      </c>
      <c r="D5" s="165"/>
      <c r="E5" s="165">
        <v>1177</v>
      </c>
      <c r="F5" s="167">
        <v>100000</v>
      </c>
      <c r="G5" s="167"/>
      <c r="H5" s="167">
        <f t="shared" si="0"/>
        <v>289085</v>
      </c>
      <c r="I5" s="168" t="s">
        <v>262</v>
      </c>
      <c r="J5" s="168" t="s">
        <v>263</v>
      </c>
      <c r="K5" s="165" t="s">
        <v>264</v>
      </c>
    </row>
    <row r="6" spans="1:11" ht="74.25" customHeight="1" x14ac:dyDescent="0.7">
      <c r="B6" s="161" t="s">
        <v>113</v>
      </c>
      <c r="C6" s="162">
        <v>45213</v>
      </c>
      <c r="D6" s="161"/>
      <c r="E6" s="161"/>
      <c r="F6" s="163"/>
      <c r="G6" s="196">
        <v>100000</v>
      </c>
      <c r="H6" s="156">
        <f t="shared" si="0"/>
        <v>189085</v>
      </c>
      <c r="I6" s="169" t="s">
        <v>262</v>
      </c>
      <c r="J6" s="164" t="s">
        <v>263</v>
      </c>
      <c r="K6" s="161"/>
    </row>
    <row r="7" spans="1:11" ht="74.25" customHeight="1" x14ac:dyDescent="0.7">
      <c r="B7" s="165" t="s">
        <v>113</v>
      </c>
      <c r="C7" s="166">
        <v>45213</v>
      </c>
      <c r="D7" s="165"/>
      <c r="E7" s="165">
        <v>1178</v>
      </c>
      <c r="F7" s="167"/>
      <c r="G7" s="167"/>
      <c r="H7" s="167">
        <f t="shared" si="0"/>
        <v>189085</v>
      </c>
      <c r="I7" s="168" t="s">
        <v>190</v>
      </c>
      <c r="J7" s="168" t="s">
        <v>190</v>
      </c>
      <c r="K7" s="165"/>
    </row>
    <row r="8" spans="1:11" ht="74.25" customHeight="1" x14ac:dyDescent="0.7">
      <c r="B8" s="161" t="s">
        <v>113</v>
      </c>
      <c r="C8" s="162">
        <v>45213</v>
      </c>
      <c r="D8" s="161"/>
      <c r="E8" s="161">
        <v>1179</v>
      </c>
      <c r="F8" s="163">
        <v>124500</v>
      </c>
      <c r="G8" s="163"/>
      <c r="H8" s="156">
        <f t="shared" si="0"/>
        <v>313585</v>
      </c>
      <c r="I8" s="169" t="s">
        <v>265</v>
      </c>
      <c r="J8" s="164" t="s">
        <v>266</v>
      </c>
      <c r="K8" s="161"/>
    </row>
    <row r="9" spans="1:11" ht="74.25" customHeight="1" x14ac:dyDescent="0.7">
      <c r="B9" s="165" t="s">
        <v>113</v>
      </c>
      <c r="C9" s="166">
        <v>45213</v>
      </c>
      <c r="D9" s="165"/>
      <c r="E9" s="165">
        <v>1180</v>
      </c>
      <c r="F9" s="167">
        <v>216100</v>
      </c>
      <c r="G9" s="167"/>
      <c r="H9" s="167">
        <f t="shared" si="0"/>
        <v>529685</v>
      </c>
      <c r="I9" s="168" t="s">
        <v>265</v>
      </c>
      <c r="J9" s="168" t="s">
        <v>267</v>
      </c>
      <c r="K9" s="165"/>
    </row>
    <row r="10" spans="1:11" ht="74.25" customHeight="1" x14ac:dyDescent="0.7">
      <c r="B10" s="161" t="s">
        <v>113</v>
      </c>
      <c r="C10" s="162">
        <v>45213</v>
      </c>
      <c r="D10" s="161"/>
      <c r="E10" s="161">
        <v>1181</v>
      </c>
      <c r="F10" s="163">
        <v>81250</v>
      </c>
      <c r="G10" s="163"/>
      <c r="H10" s="156">
        <f t="shared" si="0"/>
        <v>610935</v>
      </c>
      <c r="I10" s="169" t="s">
        <v>268</v>
      </c>
      <c r="J10" s="164" t="s">
        <v>269</v>
      </c>
      <c r="K10" s="161"/>
    </row>
    <row r="11" spans="1:11" ht="74.25" customHeight="1" x14ac:dyDescent="0.7">
      <c r="B11" s="165" t="s">
        <v>113</v>
      </c>
      <c r="C11" s="166">
        <v>45213</v>
      </c>
      <c r="D11" s="165">
        <v>1588</v>
      </c>
      <c r="E11" s="165"/>
      <c r="F11" s="167"/>
      <c r="G11" s="167">
        <v>1000</v>
      </c>
      <c r="H11" s="167">
        <f t="shared" si="0"/>
        <v>609935</v>
      </c>
      <c r="I11" s="168" t="s">
        <v>72</v>
      </c>
      <c r="J11" s="168" t="s">
        <v>224</v>
      </c>
      <c r="K11" s="165"/>
    </row>
    <row r="12" spans="1:11" ht="74.25" customHeight="1" x14ac:dyDescent="0.7">
      <c r="B12" s="161" t="s">
        <v>113</v>
      </c>
      <c r="C12" s="162">
        <v>45213</v>
      </c>
      <c r="D12" s="161">
        <v>1589</v>
      </c>
      <c r="E12" s="161"/>
      <c r="F12" s="163"/>
      <c r="G12" s="163">
        <v>300</v>
      </c>
      <c r="H12" s="156">
        <f t="shared" si="0"/>
        <v>609635</v>
      </c>
      <c r="I12" s="169" t="s">
        <v>225</v>
      </c>
      <c r="J12" s="164" t="s">
        <v>224</v>
      </c>
      <c r="K12" s="161"/>
    </row>
    <row r="13" spans="1:11" ht="74.25" customHeight="1" x14ac:dyDescent="0.7">
      <c r="B13" s="165" t="s">
        <v>113</v>
      </c>
      <c r="C13" s="166">
        <v>45213</v>
      </c>
      <c r="D13" s="165">
        <v>1590</v>
      </c>
      <c r="E13" s="165"/>
      <c r="F13" s="167"/>
      <c r="G13" s="167">
        <v>3065</v>
      </c>
      <c r="H13" s="167">
        <f t="shared" si="0"/>
        <v>606570</v>
      </c>
      <c r="I13" s="168" t="s">
        <v>270</v>
      </c>
      <c r="J13" s="168" t="s">
        <v>271</v>
      </c>
      <c r="K13" s="165"/>
    </row>
    <row r="14" spans="1:11" ht="74.25" customHeight="1" x14ac:dyDescent="0.7">
      <c r="B14" s="161" t="s">
        <v>113</v>
      </c>
      <c r="C14" s="162">
        <v>45213</v>
      </c>
      <c r="D14" s="161">
        <v>1591</v>
      </c>
      <c r="E14" s="161"/>
      <c r="F14" s="163"/>
      <c r="G14" s="163">
        <v>1000</v>
      </c>
      <c r="H14" s="156">
        <f t="shared" si="0"/>
        <v>605570</v>
      </c>
      <c r="I14" s="169" t="s">
        <v>272</v>
      </c>
      <c r="J14" s="164" t="s">
        <v>224</v>
      </c>
      <c r="K14" s="161"/>
    </row>
    <row r="15" spans="1:11" ht="74.25" customHeight="1" x14ac:dyDescent="0.7">
      <c r="B15" s="165" t="s">
        <v>113</v>
      </c>
      <c r="C15" s="166">
        <v>45213</v>
      </c>
      <c r="D15" s="165">
        <v>1592</v>
      </c>
      <c r="E15" s="165"/>
      <c r="F15" s="167"/>
      <c r="G15" s="167">
        <v>3270</v>
      </c>
      <c r="H15" s="167">
        <f t="shared" si="0"/>
        <v>602300</v>
      </c>
      <c r="I15" s="168" t="s">
        <v>226</v>
      </c>
      <c r="J15" s="168" t="s">
        <v>273</v>
      </c>
      <c r="K15" s="165"/>
    </row>
    <row r="16" spans="1:11" ht="74.25" customHeight="1" x14ac:dyDescent="0.7">
      <c r="B16" s="161" t="s">
        <v>113</v>
      </c>
      <c r="C16" s="162">
        <v>45213</v>
      </c>
      <c r="D16" s="161">
        <v>1593</v>
      </c>
      <c r="E16" s="161"/>
      <c r="F16" s="163"/>
      <c r="G16" s="163">
        <v>50000</v>
      </c>
      <c r="H16" s="156">
        <f t="shared" si="0"/>
        <v>552300</v>
      </c>
      <c r="I16" s="169" t="s">
        <v>274</v>
      </c>
      <c r="J16" s="164" t="s">
        <v>272</v>
      </c>
      <c r="K16" s="161"/>
    </row>
    <row r="17" spans="2:11" ht="74.25" customHeight="1" x14ac:dyDescent="0.7">
      <c r="B17" s="165" t="s">
        <v>113</v>
      </c>
      <c r="C17" s="166">
        <v>45213</v>
      </c>
      <c r="D17" s="165"/>
      <c r="E17" s="165">
        <v>1182</v>
      </c>
      <c r="F17" s="167">
        <v>600000</v>
      </c>
      <c r="G17" s="167"/>
      <c r="H17" s="167">
        <f t="shared" si="0"/>
        <v>1152300</v>
      </c>
      <c r="I17" s="213" t="s">
        <v>275</v>
      </c>
      <c r="J17" s="168" t="s">
        <v>276</v>
      </c>
      <c r="K17" s="165"/>
    </row>
    <row r="18" spans="2:11" ht="74.25" customHeight="1" x14ac:dyDescent="0.7">
      <c r="B18" s="161" t="s">
        <v>113</v>
      </c>
      <c r="C18" s="162">
        <v>45213</v>
      </c>
      <c r="D18" s="161">
        <v>1594</v>
      </c>
      <c r="E18" s="161"/>
      <c r="F18" s="163"/>
      <c r="G18" s="163">
        <v>20400</v>
      </c>
      <c r="H18" s="156">
        <f t="shared" si="0"/>
        <v>1131900</v>
      </c>
      <c r="I18" s="169" t="s">
        <v>72</v>
      </c>
      <c r="J18" s="164" t="s">
        <v>277</v>
      </c>
      <c r="K18" s="161"/>
    </row>
    <row r="19" spans="2:11" ht="74.25" customHeight="1" x14ac:dyDescent="0.7">
      <c r="B19" s="165" t="s">
        <v>113</v>
      </c>
      <c r="C19" s="166">
        <v>45213</v>
      </c>
      <c r="D19" s="165">
        <v>1595</v>
      </c>
      <c r="E19" s="165"/>
      <c r="F19" s="167"/>
      <c r="G19" s="167">
        <v>20000</v>
      </c>
      <c r="H19" s="167">
        <f t="shared" si="0"/>
        <v>1111900</v>
      </c>
      <c r="I19" s="168" t="s">
        <v>285</v>
      </c>
      <c r="J19" s="168" t="s">
        <v>286</v>
      </c>
      <c r="K19" s="165"/>
    </row>
    <row r="20" spans="2:11" ht="74.25" customHeight="1" x14ac:dyDescent="0.7">
      <c r="B20" s="161" t="s">
        <v>113</v>
      </c>
      <c r="C20" s="162">
        <v>45213</v>
      </c>
      <c r="D20" s="161">
        <v>1596</v>
      </c>
      <c r="E20" s="161"/>
      <c r="F20" s="163"/>
      <c r="G20" s="163">
        <v>100000</v>
      </c>
      <c r="H20" s="156">
        <f t="shared" si="0"/>
        <v>1011900</v>
      </c>
      <c r="I20" s="169" t="s">
        <v>287</v>
      </c>
      <c r="J20" s="164" t="s">
        <v>288</v>
      </c>
      <c r="K20" s="161"/>
    </row>
    <row r="21" spans="2:11" ht="74.25" customHeight="1" x14ac:dyDescent="0.7">
      <c r="B21" s="165" t="s">
        <v>113</v>
      </c>
      <c r="C21" s="166">
        <v>45213</v>
      </c>
      <c r="D21" s="165"/>
      <c r="E21" s="165"/>
      <c r="F21" s="167">
        <v>1000</v>
      </c>
      <c r="G21" s="167"/>
      <c r="H21" s="167">
        <f t="shared" si="0"/>
        <v>1012900</v>
      </c>
      <c r="I21" s="168" t="s">
        <v>72</v>
      </c>
      <c r="J21" s="168" t="s">
        <v>289</v>
      </c>
      <c r="K21" s="165"/>
    </row>
    <row r="22" spans="2:11" ht="74.25" customHeight="1" x14ac:dyDescent="0.7">
      <c r="B22" s="161" t="s">
        <v>113</v>
      </c>
      <c r="C22" s="162">
        <v>45213</v>
      </c>
      <c r="D22" s="161"/>
      <c r="E22" s="161">
        <v>1183</v>
      </c>
      <c r="F22" s="163">
        <v>55000</v>
      </c>
      <c r="G22" s="163"/>
      <c r="H22" s="156">
        <f t="shared" si="0"/>
        <v>1067900</v>
      </c>
      <c r="I22" s="169" t="s">
        <v>290</v>
      </c>
      <c r="J22" s="164" t="s">
        <v>291</v>
      </c>
      <c r="K22" s="161"/>
    </row>
    <row r="23" spans="2:11" ht="74.25" customHeight="1" x14ac:dyDescent="0.7">
      <c r="B23" s="165" t="s">
        <v>113</v>
      </c>
      <c r="C23" s="166">
        <v>45213</v>
      </c>
      <c r="D23" s="165"/>
      <c r="E23" s="165"/>
      <c r="F23" s="167"/>
      <c r="G23" s="167">
        <v>55000</v>
      </c>
      <c r="H23" s="167">
        <f t="shared" si="0"/>
        <v>1012900</v>
      </c>
      <c r="I23" s="168" t="s">
        <v>292</v>
      </c>
      <c r="J23" s="187" t="s">
        <v>296</v>
      </c>
      <c r="K23" s="165"/>
    </row>
    <row r="24" spans="2:11" ht="74.25" customHeight="1" x14ac:dyDescent="0.7">
      <c r="B24" s="161" t="s">
        <v>113</v>
      </c>
      <c r="C24" s="162">
        <v>45213</v>
      </c>
      <c r="D24" s="161">
        <v>1597</v>
      </c>
      <c r="E24" s="161"/>
      <c r="F24" s="163"/>
      <c r="G24" s="163">
        <v>100000</v>
      </c>
      <c r="H24" s="156">
        <f t="shared" si="0"/>
        <v>912900</v>
      </c>
      <c r="I24" s="169" t="s">
        <v>293</v>
      </c>
      <c r="J24" s="164" t="s">
        <v>294</v>
      </c>
      <c r="K24" s="161"/>
    </row>
    <row r="25" spans="2:11" ht="74.25" customHeight="1" thickBot="1" x14ac:dyDescent="0.75">
      <c r="B25" s="165" t="s">
        <v>113</v>
      </c>
      <c r="C25" s="166">
        <v>45213</v>
      </c>
      <c r="D25" s="165">
        <v>1598</v>
      </c>
      <c r="E25" s="165"/>
      <c r="F25" s="167"/>
      <c r="G25" s="167">
        <v>50000</v>
      </c>
      <c r="H25" s="167">
        <f t="shared" si="0"/>
        <v>862900</v>
      </c>
      <c r="I25" s="168" t="s">
        <v>293</v>
      </c>
      <c r="J25" s="168" t="s">
        <v>295</v>
      </c>
      <c r="K25" s="165"/>
    </row>
    <row r="26" spans="2:11" ht="124.5" customHeight="1" thickTop="1" x14ac:dyDescent="0.7">
      <c r="B26" s="170"/>
      <c r="C26" s="171" t="s">
        <v>127</v>
      </c>
      <c r="D26" s="172" t="s">
        <v>115</v>
      </c>
      <c r="E26" s="172" t="s">
        <v>179</v>
      </c>
      <c r="F26" s="172" t="s">
        <v>116</v>
      </c>
      <c r="G26" s="173" t="s">
        <v>180</v>
      </c>
      <c r="H26" s="174" t="s">
        <v>211</v>
      </c>
      <c r="I26" s="175"/>
      <c r="J26" s="176"/>
      <c r="K26" s="176"/>
    </row>
    <row r="27" spans="2:11" ht="124.5" customHeight="1" thickBot="1" x14ac:dyDescent="0.75">
      <c r="B27" s="161"/>
      <c r="C27" s="177">
        <f>$H$2</f>
        <v>49085</v>
      </c>
      <c r="D27" s="178">
        <f ca="1">SUMIF(B3:B25,$A$2,F3:F$23)</f>
        <v>1277850</v>
      </c>
      <c r="E27" s="178">
        <f>SUMIF(B2:B25,A2,G2:$G$25)</f>
        <v>504035</v>
      </c>
      <c r="F27" s="178">
        <f>SUMIF(B2:B20,A1,F2:$F$23)</f>
        <v>40000</v>
      </c>
      <c r="G27" s="178">
        <f>SUMIF(B2:B20,A1,G2:$G$20)</f>
        <v>0</v>
      </c>
      <c r="H27" s="179">
        <f ca="1">+C27+D27+F27-E27-G27</f>
        <v>862900</v>
      </c>
      <c r="I27" s="164"/>
      <c r="J27" s="180"/>
      <c r="K27" s="180"/>
    </row>
    <row r="28" spans="2:11" ht="120" customHeight="1" thickTop="1" x14ac:dyDescent="0.7">
      <c r="B28" s="161"/>
      <c r="C28" s="161"/>
      <c r="D28" s="106">
        <f ca="1">+C27+D27-E27</f>
        <v>822900</v>
      </c>
      <c r="E28" s="562" t="s">
        <v>181</v>
      </c>
      <c r="F28" s="562"/>
      <c r="G28" s="562"/>
      <c r="H28" s="163"/>
      <c r="I28" s="164"/>
      <c r="J28" s="161"/>
      <c r="K28" s="161"/>
    </row>
    <row r="29" spans="2:11" x14ac:dyDescent="0.7">
      <c r="B29" s="181"/>
      <c r="C29" s="181"/>
      <c r="D29" s="182"/>
      <c r="E29" s="563" t="s">
        <v>278</v>
      </c>
      <c r="F29" s="563"/>
      <c r="G29" s="563"/>
      <c r="H29" s="183"/>
      <c r="I29" s="184"/>
      <c r="J29" s="181"/>
      <c r="K29" s="181"/>
    </row>
    <row r="30" spans="2:11" x14ac:dyDescent="0.7">
      <c r="B30" s="181"/>
      <c r="C30" s="181"/>
      <c r="D30" s="182"/>
      <c r="E30" s="185" t="s">
        <v>279</v>
      </c>
      <c r="F30" s="185" t="s">
        <v>280</v>
      </c>
      <c r="G30" s="185" t="s">
        <v>281</v>
      </c>
      <c r="H30" s="183"/>
      <c r="I30" s="184"/>
      <c r="J30" s="181"/>
      <c r="K30" s="181"/>
    </row>
    <row r="31" spans="2:11" x14ac:dyDescent="0.7">
      <c r="B31" s="181"/>
      <c r="C31" s="181"/>
      <c r="D31" s="181"/>
      <c r="E31" s="185">
        <v>2859</v>
      </c>
      <c r="F31" s="186">
        <v>200</v>
      </c>
      <c r="G31" s="186">
        <f>+F31*E31</f>
        <v>571800</v>
      </c>
      <c r="H31" s="183"/>
      <c r="I31" s="184"/>
      <c r="J31" s="181"/>
      <c r="K31" s="181"/>
    </row>
    <row r="32" spans="2:11" x14ac:dyDescent="0.7">
      <c r="B32" s="181"/>
      <c r="C32" s="181"/>
      <c r="D32" s="181"/>
      <c r="E32" s="185">
        <v>1002</v>
      </c>
      <c r="F32" s="186">
        <v>100</v>
      </c>
      <c r="G32" s="186">
        <f t="shared" ref="G32:G37" si="1">+F32*E32</f>
        <v>100200</v>
      </c>
      <c r="H32" s="183"/>
      <c r="I32" s="184"/>
      <c r="J32" s="181"/>
      <c r="K32" s="181"/>
    </row>
    <row r="33" spans="2:11" x14ac:dyDescent="0.7">
      <c r="B33" s="181"/>
      <c r="C33" s="181"/>
      <c r="D33" s="181"/>
      <c r="E33" s="185">
        <v>3010</v>
      </c>
      <c r="F33" s="186">
        <v>50</v>
      </c>
      <c r="G33" s="186">
        <f t="shared" si="1"/>
        <v>150500</v>
      </c>
      <c r="H33" s="183"/>
      <c r="I33" s="184"/>
      <c r="J33" s="181"/>
      <c r="K33" s="181"/>
    </row>
    <row r="34" spans="2:11" x14ac:dyDescent="0.7">
      <c r="B34" s="181"/>
      <c r="C34" s="181"/>
      <c r="D34" s="181"/>
      <c r="E34" s="185">
        <v>12</v>
      </c>
      <c r="F34" s="186">
        <v>20</v>
      </c>
      <c r="G34" s="186">
        <f t="shared" si="1"/>
        <v>240</v>
      </c>
      <c r="H34" s="183"/>
      <c r="I34" s="184"/>
      <c r="J34" s="181"/>
      <c r="K34" s="181"/>
    </row>
    <row r="35" spans="2:11" x14ac:dyDescent="0.7">
      <c r="B35" s="181"/>
      <c r="C35" s="181"/>
      <c r="D35" s="181"/>
      <c r="E35" s="185">
        <v>4</v>
      </c>
      <c r="F35" s="186">
        <v>10</v>
      </c>
      <c r="G35" s="186">
        <f t="shared" si="1"/>
        <v>40</v>
      </c>
      <c r="H35" s="183"/>
      <c r="I35" s="184"/>
      <c r="J35" s="181"/>
      <c r="K35" s="181"/>
    </row>
    <row r="36" spans="2:11" x14ac:dyDescent="0.7">
      <c r="B36" s="181"/>
      <c r="C36" s="181"/>
      <c r="D36" s="181"/>
      <c r="E36" s="185"/>
      <c r="F36" s="186">
        <v>5</v>
      </c>
      <c r="G36" s="186">
        <f t="shared" si="1"/>
        <v>0</v>
      </c>
      <c r="H36" s="183"/>
      <c r="I36" s="184"/>
      <c r="J36" s="181"/>
      <c r="K36" s="181"/>
    </row>
    <row r="37" spans="2:11" x14ac:dyDescent="0.7">
      <c r="B37" s="181"/>
      <c r="C37" s="181"/>
      <c r="D37" s="181"/>
      <c r="E37" s="185">
        <v>23</v>
      </c>
      <c r="F37" s="186">
        <v>1</v>
      </c>
      <c r="G37" s="186">
        <f t="shared" si="1"/>
        <v>23</v>
      </c>
      <c r="H37" s="183"/>
      <c r="I37" s="184"/>
      <c r="J37" s="181"/>
      <c r="K37" s="181"/>
    </row>
    <row r="38" spans="2:11" x14ac:dyDescent="0.7">
      <c r="B38" s="181"/>
      <c r="C38" s="181"/>
      <c r="D38" s="181"/>
      <c r="E38" s="185"/>
      <c r="F38" s="186" t="s">
        <v>283</v>
      </c>
      <c r="G38" s="186">
        <f>SUM(G31:G37)</f>
        <v>822803</v>
      </c>
      <c r="H38" s="183"/>
      <c r="I38" s="184"/>
      <c r="J38" s="181"/>
      <c r="K38" s="181"/>
    </row>
    <row r="39" spans="2:11" x14ac:dyDescent="0.7">
      <c r="B39" s="181"/>
      <c r="C39" s="181"/>
      <c r="D39" s="181"/>
      <c r="E39" s="185"/>
      <c r="F39" s="186" t="s">
        <v>282</v>
      </c>
      <c r="G39" s="186">
        <f ca="1">D28</f>
        <v>822900</v>
      </c>
      <c r="H39" s="183"/>
      <c r="I39" s="184"/>
      <c r="J39" s="181"/>
      <c r="K39" s="181"/>
    </row>
    <row r="40" spans="2:11" ht="60" customHeight="1" x14ac:dyDescent="0.7">
      <c r="B40" s="181"/>
      <c r="C40" s="181"/>
      <c r="D40" s="181"/>
      <c r="E40" s="185"/>
      <c r="F40" s="186" t="s">
        <v>284</v>
      </c>
      <c r="G40" s="186">
        <f ca="1">+G38-G39</f>
        <v>-97</v>
      </c>
      <c r="H40" s="183"/>
      <c r="I40" s="184"/>
      <c r="J40" s="181"/>
      <c r="K40" s="181"/>
    </row>
  </sheetData>
  <mergeCells count="2">
    <mergeCell ref="E28:G28"/>
    <mergeCell ref="E29:G29"/>
  </mergeCells>
  <conditionalFormatting sqref="A1">
    <cfRule type="cellIs" dxfId="203" priority="5" operator="equal">
      <formula>#REF!</formula>
    </cfRule>
  </conditionalFormatting>
  <conditionalFormatting sqref="B1:B2 B26:B40">
    <cfRule type="cellIs" dxfId="202" priority="10" operator="equal">
      <formula>#REF!</formula>
    </cfRule>
  </conditionalFormatting>
  <conditionalFormatting sqref="B3:B4">
    <cfRule type="cellIs" dxfId="201" priority="8" operator="equal">
      <formula>#REF!</formula>
    </cfRule>
  </conditionalFormatting>
  <conditionalFormatting sqref="B5:B25">
    <cfRule type="cellIs" dxfId="200" priority="1" operator="equal">
      <formula>#REF!</formula>
    </cfRule>
  </conditionalFormatting>
  <conditionalFormatting sqref="D1:E1">
    <cfRule type="duplicateValues" dxfId="199" priority="9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43</vt:i4>
      </vt:variant>
      <vt:variant>
        <vt:lpstr>Named Ranges</vt:lpstr>
      </vt:variant>
      <vt:variant>
        <vt:i4>30</vt:i4>
      </vt:variant>
    </vt:vector>
  </HeadingPairs>
  <TitlesOfParts>
    <vt:vector size="73" baseType="lpstr">
      <vt:lpstr>Sheet1</vt:lpstr>
      <vt:lpstr>5-10-2023</vt:lpstr>
      <vt:lpstr>7-10</vt:lpstr>
      <vt:lpstr>8-10</vt:lpstr>
      <vt:lpstr>9-10</vt:lpstr>
      <vt:lpstr>10-10</vt:lpstr>
      <vt:lpstr>11-10</vt:lpstr>
      <vt:lpstr>12-10</vt:lpstr>
      <vt:lpstr>14-10</vt:lpstr>
      <vt:lpstr>15-10</vt:lpstr>
      <vt:lpstr>16-10</vt:lpstr>
      <vt:lpstr>17-10</vt:lpstr>
      <vt:lpstr>18-10</vt:lpstr>
      <vt:lpstr>19-10</vt:lpstr>
      <vt:lpstr>21-10</vt:lpstr>
      <vt:lpstr>22-10</vt:lpstr>
      <vt:lpstr>23-10</vt:lpstr>
      <vt:lpstr>24-10</vt:lpstr>
      <vt:lpstr>25-10</vt:lpstr>
      <vt:lpstr>26-10</vt:lpstr>
      <vt:lpstr>28-10</vt:lpstr>
      <vt:lpstr>29-10</vt:lpstr>
      <vt:lpstr>31-10</vt:lpstr>
      <vt:lpstr>1-11-2023</vt:lpstr>
      <vt:lpstr>2-11</vt:lpstr>
      <vt:lpstr>3-11</vt:lpstr>
      <vt:lpstr>4-11</vt:lpstr>
      <vt:lpstr>5-11</vt:lpstr>
      <vt:lpstr>6-11</vt:lpstr>
      <vt:lpstr>7-11</vt:lpstr>
      <vt:lpstr>8-11</vt:lpstr>
      <vt:lpstr>9-11</vt:lpstr>
      <vt:lpstr>11-11</vt:lpstr>
      <vt:lpstr>12-11</vt:lpstr>
      <vt:lpstr>13-11</vt:lpstr>
      <vt:lpstr>14-11</vt:lpstr>
      <vt:lpstr>15-11</vt:lpstr>
      <vt:lpstr>16-11</vt:lpstr>
      <vt:lpstr>18-11</vt:lpstr>
      <vt:lpstr>19-11</vt:lpstr>
      <vt:lpstr>20-11</vt:lpstr>
      <vt:lpstr>21-11</vt:lpstr>
      <vt:lpstr>22-11</vt:lpstr>
      <vt:lpstr>'11-10'!Print_Area</vt:lpstr>
      <vt:lpstr>'11-11'!Print_Area</vt:lpstr>
      <vt:lpstr>'1-11-2023'!Print_Area</vt:lpstr>
      <vt:lpstr>'12-10'!Print_Area</vt:lpstr>
      <vt:lpstr>'12-11'!Print_Area</vt:lpstr>
      <vt:lpstr>'13-11'!Print_Area</vt:lpstr>
      <vt:lpstr>'14-11'!Print_Area</vt:lpstr>
      <vt:lpstr>'15-10'!Print_Area</vt:lpstr>
      <vt:lpstr>'15-11'!Print_Area</vt:lpstr>
      <vt:lpstr>'16-10'!Print_Area</vt:lpstr>
      <vt:lpstr>'16-11'!Print_Area</vt:lpstr>
      <vt:lpstr>'17-10'!Print_Area</vt:lpstr>
      <vt:lpstr>'18-10'!Print_Area</vt:lpstr>
      <vt:lpstr>'18-11'!Print_Area</vt:lpstr>
      <vt:lpstr>'19-10'!Print_Area</vt:lpstr>
      <vt:lpstr>'19-11'!Print_Area</vt:lpstr>
      <vt:lpstr>'20-11'!Print_Area</vt:lpstr>
      <vt:lpstr>'2-11'!Print_Area</vt:lpstr>
      <vt:lpstr>'21-10'!Print_Area</vt:lpstr>
      <vt:lpstr>'21-11'!Print_Area</vt:lpstr>
      <vt:lpstr>'22-10'!Print_Area</vt:lpstr>
      <vt:lpstr>'22-11'!Print_Area</vt:lpstr>
      <vt:lpstr>'23-10'!Print_Area</vt:lpstr>
      <vt:lpstr>'24-10'!Print_Area</vt:lpstr>
      <vt:lpstr>'25-10'!Print_Area</vt:lpstr>
      <vt:lpstr>'29-10'!Print_Area</vt:lpstr>
      <vt:lpstr>'3-11'!Print_Area</vt:lpstr>
      <vt:lpstr>'31-10'!Print_Area</vt:lpstr>
      <vt:lpstr>'4-11'!Print_Area</vt:lpstr>
      <vt:lpstr>'9-11'!Print_Area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2023-11-23T12:17:44Z</dcterms:modified>
</cp:coreProperties>
</file>